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420" windowHeight="4245" activeTab="2"/>
  </bookViews>
  <sheets>
    <sheet name="Summary" sheetId="1" r:id="rId1"/>
    <sheet name="Consol_PL" sheetId="2" r:id="rId2"/>
    <sheet name="Consol_BS" sheetId="3" r:id="rId3"/>
    <sheet name="Consol_CF" sheetId="4" r:id="rId4"/>
    <sheet name="(CF) Note 1" sheetId="5" r:id="rId5"/>
    <sheet name="Consol_EQ" sheetId="6" r:id="rId6"/>
    <sheet name="Consol_RGL" sheetId="7" r:id="rId7"/>
  </sheets>
  <definedNames/>
  <calcPr fullCalcOnLoad="1"/>
</workbook>
</file>

<file path=xl/sharedStrings.xml><?xml version="1.0" encoding="utf-8"?>
<sst xmlns="http://schemas.openxmlformats.org/spreadsheetml/2006/main" count="288" uniqueCount="225">
  <si>
    <t>MITHRIL BERHAD</t>
  </si>
  <si>
    <t>(Company No.:577765-U)</t>
  </si>
  <si>
    <t xml:space="preserve">The Board of Directors is pleased to announce the unaudited results of the Group for the Quarter </t>
  </si>
  <si>
    <t>PART A2 : SUMMARY OF KEY FINANCIAL INFORMATION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</si>
  <si>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</si>
  <si>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</si>
  <si>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</si>
  <si>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</si>
  <si>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</si>
  <si>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</si>
  <si>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</si>
  <si>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 to date</t>
  </si>
  <si>
    <t>RM'000</t>
  </si>
  <si>
    <t>RM'001</t>
  </si>
  <si>
    <t>Revenue</t>
  </si>
  <si>
    <t>Profit/(loss) before tax</t>
  </si>
  <si>
    <t>Profit/(loss) after tax and minority</t>
  </si>
  <si>
    <t>interests</t>
  </si>
  <si>
    <t>Net profit/(loss) for the period</t>
  </si>
  <si>
    <t>Basis earning/(loss) per share(RM)</t>
  </si>
  <si>
    <t>Dividend per share(sen)</t>
  </si>
  <si>
    <t xml:space="preserve">AS AT END OF CURRENT </t>
  </si>
  <si>
    <t xml:space="preserve">AS AT PRECEDING FINANCIAL </t>
  </si>
  <si>
    <t>QUARTER</t>
  </si>
  <si>
    <t>YEAR END</t>
  </si>
  <si>
    <t>Net tangible assets per share (RM)</t>
  </si>
  <si>
    <r>
      <t>Notes</t>
    </r>
    <r>
      <rPr>
        <sz val="10"/>
        <rFont val="Arial"/>
        <family val="2"/>
      </rPr>
      <t xml:space="preserve"> :</t>
    </r>
  </si>
  <si>
    <t xml:space="preserve">     to Bursa Malaysia Securities Berhad</t>
  </si>
  <si>
    <t>CONDENSED CONSOLIDATED INCOME STATEMENTS</t>
  </si>
  <si>
    <t xml:space="preserve">                                          UNAUDITED</t>
  </si>
  <si>
    <t>CURRENT</t>
  </si>
  <si>
    <t>COMPARATIVE</t>
  </si>
  <si>
    <t>QTR ENDED</t>
  </si>
  <si>
    <t>CUMULATIVE</t>
  </si>
  <si>
    <t>TO DATE</t>
  </si>
  <si>
    <t>RM</t>
  </si>
  <si>
    <t>REVENUE</t>
  </si>
  <si>
    <t>OPERATING EXPENSES</t>
  </si>
  <si>
    <t>OTHER OPERATING INCOME</t>
  </si>
  <si>
    <t>PROFIT/(LOSS) FROM OPERATIONS</t>
  </si>
  <si>
    <t>FINANCE COSTS</t>
  </si>
  <si>
    <t>INVESTING RESULTS</t>
  </si>
  <si>
    <t>PROFIT/(LOSS) BEFORE TAX</t>
  </si>
  <si>
    <t>TAXATION</t>
  </si>
  <si>
    <t>PROFIT/(LOSS) AFTER TAX</t>
  </si>
  <si>
    <t>NET PROFIT/(LOSS) FOR THE PERIOD</t>
  </si>
  <si>
    <t>EPS - BASIC (RM)</t>
  </si>
  <si>
    <t xml:space="preserve">        - DILUTED (RM)</t>
  </si>
  <si>
    <t>N/A</t>
  </si>
  <si>
    <t xml:space="preserve">     to Bursa Malaysia Securities Berhad.</t>
  </si>
  <si>
    <t>CONDENSED CONSOLIDATED BALANCE SHEETS</t>
  </si>
  <si>
    <t>As at</t>
  </si>
  <si>
    <t>30th Sep 2003</t>
  </si>
  <si>
    <t>(Unaudited)</t>
  </si>
  <si>
    <t>(Audited)</t>
  </si>
  <si>
    <t>Group</t>
  </si>
  <si>
    <t>Company</t>
  </si>
  <si>
    <t>Property, Plant and Equipment</t>
  </si>
  <si>
    <t>Other Investments</t>
  </si>
  <si>
    <t>Current Assets</t>
  </si>
  <si>
    <t>Inventories</t>
  </si>
  <si>
    <t>Trade and Other Receivables</t>
  </si>
  <si>
    <t>Cash &amp; Bank Balances</t>
  </si>
  <si>
    <t>Current Liabilities</t>
  </si>
  <si>
    <t>Trade and Other Payables</t>
  </si>
  <si>
    <t>Short-term Borrowings</t>
  </si>
  <si>
    <t>Taxation</t>
  </si>
  <si>
    <t>Net Current Liabilities</t>
  </si>
  <si>
    <t>Share Capital</t>
  </si>
  <si>
    <t>ICCPS (Equity)</t>
  </si>
  <si>
    <t>RCULS (Equity)</t>
  </si>
  <si>
    <t>Reserves and Accumulated Losses</t>
  </si>
  <si>
    <t>Long-term Liabilities</t>
  </si>
  <si>
    <t>Borrowings</t>
  </si>
  <si>
    <r>
      <t>Note</t>
    </r>
    <r>
      <rPr>
        <sz val="10"/>
        <rFont val="Arial"/>
        <family val="2"/>
      </rPr>
      <t xml:space="preserve"> :</t>
    </r>
  </si>
  <si>
    <t xml:space="preserve">1. The audited figures as at 30 September 2003 consists only of company level as Tajo Berhad only </t>
  </si>
  <si>
    <t xml:space="preserve">      became a wholly owned subsidiary of Mithril Berhad on 26 December 2003.</t>
  </si>
  <si>
    <t>CONDENSED CONSOLIDATED CASH FLOW STATEMENTS</t>
  </si>
  <si>
    <t>CASH FLOWS FROM OPERATING ACTIVITIES</t>
  </si>
  <si>
    <t>Loss before tax</t>
  </si>
  <si>
    <t>Adjustment for non-cash flow:-</t>
  </si>
  <si>
    <t>Depreciation</t>
  </si>
  <si>
    <t>Interest expenses</t>
  </si>
  <si>
    <t>Interest income</t>
  </si>
  <si>
    <t>Waiver of interest expenses</t>
  </si>
  <si>
    <t>Impairment of goodwill</t>
  </si>
  <si>
    <t>Operating loss before changes in working capital</t>
  </si>
  <si>
    <t>Changes in working capital</t>
  </si>
  <si>
    <t>Increase in inventories</t>
  </si>
  <si>
    <t>Cash used in operations</t>
  </si>
  <si>
    <t>Tax paid</t>
  </si>
  <si>
    <t>CASH FLOWS FROM INVESTING ACTIVITIES</t>
  </si>
  <si>
    <t>Purchase of property, plant and equipment</t>
  </si>
  <si>
    <t>Interest received</t>
  </si>
  <si>
    <t>Proceeds from disposal of quoted shares</t>
  </si>
  <si>
    <t/>
  </si>
  <si>
    <t>Net cash used in investing activities</t>
  </si>
  <si>
    <t>CASH FLOWS FROM FINANCING ACTIVITIES</t>
  </si>
  <si>
    <t>Net cash generated from investing activities</t>
  </si>
  <si>
    <t>Net Change in Cash and Cash Equivalents</t>
  </si>
  <si>
    <t>Cash and Cash Equivalents at beginning of the period</t>
  </si>
  <si>
    <t>Cash &amp; Cash Equivalents at the end of the period</t>
  </si>
  <si>
    <t>Cash and Cash Equivalents at end of the period</t>
  </si>
  <si>
    <t xml:space="preserve"> - Bank &amp; cash balances</t>
  </si>
  <si>
    <t xml:space="preserve"> - Bank overdrafts - MBB,Tajo Bhd.</t>
  </si>
  <si>
    <t xml:space="preserve"> - Bank overdrafts - Tajo Bhd &amp; Tajo Project Mgnt</t>
  </si>
  <si>
    <t>Cash and cash equivalents comprise :</t>
  </si>
  <si>
    <t xml:space="preserve">  Cash and Bank Balances</t>
  </si>
  <si>
    <t xml:space="preserve">  Bank Overdrafts</t>
  </si>
  <si>
    <t xml:space="preserve">     </t>
  </si>
  <si>
    <t>to Bursa Malaysia Securities Berhad</t>
  </si>
  <si>
    <t>CONDENSED CONSOLIDATED STATEMENTS OF CHANGES IN EQUITY</t>
  </si>
  <si>
    <t>Non-Distributable</t>
  </si>
  <si>
    <t>Distributable</t>
  </si>
  <si>
    <t>Cumulative Quarter ended</t>
  </si>
  <si>
    <t>SHARE</t>
  </si>
  <si>
    <t>OTHER</t>
  </si>
  <si>
    <t>ACCUMULATED</t>
  </si>
  <si>
    <t>TOTAL</t>
  </si>
  <si>
    <t>CAPITAL</t>
  </si>
  <si>
    <t>PREMIUM</t>
  </si>
  <si>
    <t>RESERVES</t>
  </si>
  <si>
    <t>LOSSES</t>
  </si>
  <si>
    <t>Balance at beginning of period</t>
  </si>
  <si>
    <t>(At 1st October 2003)</t>
  </si>
  <si>
    <t>Issue of ordinary shares:</t>
  </si>
  <si>
    <t xml:space="preserve">    Acquisition of subsidiary</t>
  </si>
  <si>
    <t xml:space="preserve">    Debt settlement</t>
  </si>
  <si>
    <t>Equity component of ICCPS</t>
  </si>
  <si>
    <t>Equity component of RCULS</t>
  </si>
  <si>
    <t>Movement during the period</t>
  </si>
  <si>
    <t>(Cumulative)</t>
  </si>
  <si>
    <t>Balance at end of period</t>
  </si>
  <si>
    <t>CONDENSED CONSOLIDATED STATEMENT OF RECOGNISED GAINS AND LOSSES</t>
  </si>
  <si>
    <t>(Cumulative to date)</t>
  </si>
  <si>
    <t>Surplus/(deficit) on Revaluation</t>
  </si>
  <si>
    <t>Others</t>
  </si>
  <si>
    <t>Net Gains/(Losses) not recognised in the income statements</t>
  </si>
  <si>
    <t>Net Profit (Cumulative)</t>
  </si>
  <si>
    <t>Total recognised gains and losses</t>
  </si>
  <si>
    <t xml:space="preserve">    report to Bursa Malaysia Securities Berhad</t>
  </si>
  <si>
    <t>ended 30th June 2004.</t>
  </si>
  <si>
    <t>30.06.04</t>
  </si>
  <si>
    <t>30.06.03</t>
  </si>
  <si>
    <t>FOR THE QUARTER ENDED 30TH JUNE 2004</t>
  </si>
  <si>
    <t>30TH JUNE</t>
  </si>
  <si>
    <t>9 MONTHS</t>
  </si>
  <si>
    <t>1. Comparative figures for the preceding year are not available as this is Mithril Berhad's second quarterly report</t>
  </si>
  <si>
    <t>AS AT 30TH JUNE 2004</t>
  </si>
  <si>
    <t>30th June 2004</t>
  </si>
  <si>
    <t>FOR THE CUMULATIVE QUARTER ENDED 30TH JUNE 2004</t>
  </si>
  <si>
    <t>9 months ended</t>
  </si>
  <si>
    <t>(At 30th June 2004)</t>
  </si>
  <si>
    <t>9 months</t>
  </si>
  <si>
    <t xml:space="preserve">     amounting to RM38,737,233 which was completed on 14 April 2004 with the listing of Mithril Berhad.</t>
  </si>
  <si>
    <t>Goodwill on Consolidation</t>
  </si>
  <si>
    <t>ICULS (Equity)</t>
  </si>
  <si>
    <t>RCSLS (Equity)</t>
  </si>
  <si>
    <t>ICCPS (Liability)</t>
  </si>
  <si>
    <t>RCULS (Liability)</t>
  </si>
  <si>
    <t>ICULS (Liability)</t>
  </si>
  <si>
    <t>RCSLS (Liability)</t>
  </si>
  <si>
    <t>Deferred Taxation</t>
  </si>
  <si>
    <t>Shareholders' Funds/(Deficit)</t>
  </si>
  <si>
    <t xml:space="preserve">    Rights Issue</t>
  </si>
  <si>
    <t xml:space="preserve">    Conversion of RCULS</t>
  </si>
  <si>
    <t>Equity component of ICULS</t>
  </si>
  <si>
    <t>Equity component of RCSLS</t>
  </si>
  <si>
    <t>QUARTERLY REPORT - 30TH JUNE 2004</t>
  </si>
  <si>
    <t>1. Comparative figures for the preceding year are not available as this is Mithril Berhad's second quarterly</t>
  </si>
  <si>
    <t xml:space="preserve">1. Comparative figures for the preceding year are not available as this is Mithril Berhad's second </t>
  </si>
  <si>
    <t xml:space="preserve">    quarterly report to Bursa Malaysia Securities Berhad</t>
  </si>
  <si>
    <t>Allowance for doubtful debts written back</t>
  </si>
  <si>
    <t>Proceeds from issuance of ordinary shares</t>
  </si>
  <si>
    <t>Proceeds from issuance of loan stocks</t>
  </si>
  <si>
    <t>Proceeds from issuance of preference shares</t>
  </si>
  <si>
    <t>Proceeds from borrowings</t>
  </si>
  <si>
    <t>Repayment of hire purchase creditors</t>
  </si>
  <si>
    <t>Repayment of term loan</t>
  </si>
  <si>
    <t>Interest paid</t>
  </si>
  <si>
    <t>Investment Properties</t>
  </si>
  <si>
    <t>Writeback of factory rental</t>
  </si>
  <si>
    <t>Writeback of security services</t>
  </si>
  <si>
    <t>Purchase of investment properties</t>
  </si>
  <si>
    <t>MINORITY INTEREST</t>
  </si>
  <si>
    <t>2. Included in investing results for the 9 months ended 30 June 2004 is impairment of goodwill of RM211,762,296</t>
  </si>
  <si>
    <t xml:space="preserve">     Scheme Creditors of Tajo Berhad pursuant to the Debt Settlement and Restructuring Agreement</t>
  </si>
  <si>
    <t xml:space="preserve">     arising from the acquisition of Tajo Berhad and also a write back of interest expenses waived by the</t>
  </si>
  <si>
    <t>Decrease in receivables</t>
  </si>
  <si>
    <t>Decrease in payables</t>
  </si>
  <si>
    <t>Repayment of subsidiaries' debts</t>
  </si>
  <si>
    <t>Payment of Restructuring Expenses</t>
  </si>
  <si>
    <t>Net cash used in operating activities</t>
  </si>
  <si>
    <t>Net cash and cash equivalent assumed from acquisition of subsidiaries (Note 1)</t>
  </si>
  <si>
    <t>Acquisition of Subsidiaries</t>
  </si>
  <si>
    <t xml:space="preserve">On 26 December 2003, Mithril acquired 100% equity interest in Tajo Berhad pursuant to Tajo's </t>
  </si>
  <si>
    <t>Restructuring Exercise via a scheme of arrangement between Tajo, its shareholders and Mithril</t>
  </si>
  <si>
    <t xml:space="preserve">under Section 176 of the Act whereby the shareholders of Tajo exchanged one (1) new Mithril </t>
  </si>
  <si>
    <t>Share for every one (1) Share of Tajo.</t>
  </si>
  <si>
    <t xml:space="preserve">On 8 April 2004, Mithril acquired 100% equity interest in Saferay (M) Sdn Bhd, a company </t>
  </si>
  <si>
    <t xml:space="preserve">incorporated in Malaysia, for a cash consideration of RM17,500,000 and the issue of 30,500,000 </t>
  </si>
  <si>
    <t>Redeemable Convertible Unsecured Loan Stocks.</t>
  </si>
  <si>
    <t>The acquisitions had the following effects on the Group's financial results for the period:</t>
  </si>
  <si>
    <t>Profit from operations</t>
  </si>
  <si>
    <t>Net profit for the period</t>
  </si>
  <si>
    <t xml:space="preserve">The acquisitions had the following effects on the financial position of the Group as at the end of </t>
  </si>
  <si>
    <t>the financial period :</t>
  </si>
  <si>
    <t>Property, plant and equipment</t>
  </si>
  <si>
    <t>Trade receivables</t>
  </si>
  <si>
    <t>Other receivables</t>
  </si>
  <si>
    <t>Cash and cash equivalents</t>
  </si>
  <si>
    <t>Trade Payables</t>
  </si>
  <si>
    <t>Other Payables</t>
  </si>
  <si>
    <t xml:space="preserve">The fair values of the assets acquired and the liabilities assumed from the acquisition of the </t>
  </si>
  <si>
    <t>subsidiaries were as follows:</t>
  </si>
  <si>
    <t>Net assets/(liabilities) acquired</t>
  </si>
  <si>
    <t>Goodwill on consolidation</t>
  </si>
  <si>
    <t>Cost of acquisitions</t>
  </si>
  <si>
    <t>Satisfied by:</t>
  </si>
  <si>
    <t>Cash</t>
  </si>
  <si>
    <t>Shares</t>
  </si>
  <si>
    <t>RCULS</t>
  </si>
  <si>
    <t>Net cash outflow:</t>
  </si>
  <si>
    <t>Cash consideration</t>
  </si>
  <si>
    <t>Cash &amp; equivalents of subs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</si>
</sst>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0_);[Red]\(0.00\)"/>
    <numFmt numFmtId="172" formatCode="0.00;[Red]0.00"/>
    <numFmt numFmtId="173" formatCode="0_);[Red]\(0\)"/>
    <numFmt numFmtId="174" formatCode="#,##0.000_);[Red]\(#,##0.000\)"/>
    <numFmt numFmtId="175" formatCode="#,##0.0000_);[Red]\(#,##0.0000\)"/>
    <numFmt numFmtId="176" formatCode="#,##0.0_);[Red]\(#,##0.0\)"/>
    <numFmt numFmtId="177" formatCode="_(* #,##0.0_);_(* \(#,##0.0\);_(* &quot;-&quot;??_);_(@_)"/>
    <numFmt numFmtId="178" formatCode="#,##0.0_);\(#,##0.0\)"/>
    <numFmt numFmtId="179" formatCode="#,##0.0000_);\(#,##0.0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4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2"/>
      <name val="Arial MT"/>
      <family val="0"/>
    </font>
    <font>
      <u val="single"/>
      <sz val="10"/>
      <name val="Tahoma"/>
      <family val="2"/>
    </font>
    <font>
      <sz val="10"/>
      <name val="Century Gothic"/>
      <family val="2"/>
    </font>
    <font>
      <u val="single"/>
      <sz val="10"/>
      <name val="Century Gothic"/>
      <family val="2"/>
    </font>
    <font>
      <b/>
      <u val="single"/>
      <sz val="10"/>
      <name val="Century Gothic"/>
      <family val="2"/>
    </font>
    <font>
      <b/>
      <sz val="10"/>
      <name val="Century Gothic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u val="singleAccounting"/>
      <sz val="10"/>
      <name val="Tahoma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41" fontId="2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/>
    </xf>
    <xf numFmtId="41" fontId="1" fillId="0" borderId="3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6" xfId="0" applyNumberFormat="1" applyFont="1" applyBorder="1" applyAlignment="1">
      <alignment horizontal="center"/>
    </xf>
    <xf numFmtId="41" fontId="1" fillId="0" borderId="7" xfId="0" applyNumberFormat="1" applyFont="1" applyBorder="1" applyAlignment="1">
      <alignment/>
    </xf>
    <xf numFmtId="41" fontId="1" fillId="0" borderId="0" xfId="19" applyNumberFormat="1" applyFont="1">
      <alignment/>
      <protection/>
    </xf>
    <xf numFmtId="41" fontId="1" fillId="0" borderId="7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41" fontId="1" fillId="0" borderId="9" xfId="0" applyNumberFormat="1" applyFont="1" applyBorder="1" applyAlignment="1">
      <alignment/>
    </xf>
    <xf numFmtId="41" fontId="1" fillId="0" borderId="10" xfId="0" applyNumberFormat="1" applyFont="1" applyBorder="1" applyAlignment="1">
      <alignment horizontal="center"/>
    </xf>
    <xf numFmtId="41" fontId="1" fillId="0" borderId="6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41" fontId="1" fillId="0" borderId="5" xfId="0" applyNumberFormat="1" applyFont="1" applyBorder="1" applyAlignment="1">
      <alignment horizontal="center"/>
    </xf>
    <xf numFmtId="41" fontId="1" fillId="0" borderId="8" xfId="0" applyNumberFormat="1" applyFont="1" applyBorder="1" applyAlignment="1">
      <alignment horizontal="center"/>
    </xf>
    <xf numFmtId="41" fontId="1" fillId="0" borderId="11" xfId="0" applyNumberFormat="1" applyFont="1" applyBorder="1" applyAlignment="1">
      <alignment horizontal="center"/>
    </xf>
    <xf numFmtId="41" fontId="1" fillId="0" borderId="10" xfId="0" applyNumberFormat="1" applyFont="1" applyBorder="1" applyAlignment="1">
      <alignment/>
    </xf>
    <xf numFmtId="41" fontId="1" fillId="0" borderId="1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8" xfId="0" applyNumberFormat="1" applyFont="1" applyBorder="1" applyAlignment="1">
      <alignment/>
    </xf>
    <xf numFmtId="41" fontId="1" fillId="0" borderId="12" xfId="0" applyNumberFormat="1" applyFont="1" applyBorder="1" applyAlignment="1">
      <alignment/>
    </xf>
    <xf numFmtId="0" fontId="5" fillId="0" borderId="0" xfId="19" applyFont="1">
      <alignment/>
      <protection/>
    </xf>
    <xf numFmtId="0" fontId="6" fillId="0" borderId="0" xfId="19" applyFont="1">
      <alignment/>
      <protection/>
    </xf>
    <xf numFmtId="0" fontId="7" fillId="0" borderId="0" xfId="19" applyFont="1">
      <alignment/>
      <protection/>
    </xf>
    <xf numFmtId="0" fontId="8" fillId="0" borderId="0" xfId="19" applyFont="1" applyAlignment="1">
      <alignment horizontal="left"/>
      <protection/>
    </xf>
    <xf numFmtId="0" fontId="8" fillId="0" borderId="1" xfId="19" applyFont="1" applyBorder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0" fontId="8" fillId="0" borderId="0" xfId="19" applyFont="1">
      <alignment/>
      <protection/>
    </xf>
    <xf numFmtId="14" fontId="8" fillId="0" borderId="0" xfId="19" applyNumberFormat="1" applyFont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5" fillId="0" borderId="0" xfId="19" applyFont="1" applyBorder="1">
      <alignment/>
      <protection/>
    </xf>
    <xf numFmtId="37" fontId="5" fillId="0" borderId="0" xfId="19" applyNumberFormat="1" applyFont="1">
      <alignment/>
      <protection/>
    </xf>
    <xf numFmtId="0" fontId="5" fillId="0" borderId="0" xfId="19" applyFont="1" applyAlignment="1">
      <alignment horizontal="justify" wrapText="1"/>
      <protection/>
    </xf>
    <xf numFmtId="38" fontId="5" fillId="0" borderId="0" xfId="15" applyNumberFormat="1" applyFont="1" applyBorder="1" applyAlignment="1">
      <alignment horizontal="right"/>
    </xf>
    <xf numFmtId="38" fontId="5" fillId="0" borderId="0" xfId="15" applyNumberFormat="1" applyFont="1" applyBorder="1" applyAlignment="1">
      <alignment/>
    </xf>
    <xf numFmtId="38" fontId="5" fillId="0" borderId="0" xfId="19" applyNumberFormat="1" applyFont="1">
      <alignment/>
      <protection/>
    </xf>
    <xf numFmtId="0" fontId="5" fillId="0" borderId="0" xfId="19" applyFont="1" applyAlignment="1">
      <alignment horizontal="left" wrapText="1"/>
      <protection/>
    </xf>
    <xf numFmtId="0" fontId="8" fillId="0" borderId="1" xfId="19" applyFont="1" applyBorder="1" applyAlignment="1">
      <alignment horizontal="centerContinuous"/>
      <protection/>
    </xf>
    <xf numFmtId="0" fontId="1" fillId="0" borderId="4" xfId="0" applyNumberFormat="1" applyFont="1" applyBorder="1" applyAlignment="1">
      <alignment horizontal="centerContinuous"/>
    </xf>
    <xf numFmtId="0" fontId="1" fillId="0" borderId="9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7" fontId="5" fillId="0" borderId="0" xfId="15" applyNumberFormat="1" applyFont="1" applyBorder="1" applyAlignment="1">
      <alignment horizontal="right"/>
    </xf>
    <xf numFmtId="37" fontId="5" fillId="0" borderId="0" xfId="15" applyNumberFormat="1" applyFont="1" applyBorder="1" applyAlignment="1">
      <alignment/>
    </xf>
    <xf numFmtId="37" fontId="5" fillId="0" borderId="0" xfId="19" applyNumberFormat="1" applyFont="1" applyBorder="1">
      <alignment/>
      <protection/>
    </xf>
    <xf numFmtId="37" fontId="5" fillId="0" borderId="0" xfId="15" applyNumberFormat="1" applyFont="1" applyAlignment="1">
      <alignment horizontal="right"/>
    </xf>
    <xf numFmtId="37" fontId="5" fillId="0" borderId="0" xfId="15" applyNumberFormat="1" applyFont="1" applyAlignment="1">
      <alignment/>
    </xf>
    <xf numFmtId="37" fontId="5" fillId="0" borderId="1" xfId="15" applyNumberFormat="1" applyFont="1" applyBorder="1" applyAlignment="1">
      <alignment horizontal="right"/>
    </xf>
    <xf numFmtId="39" fontId="5" fillId="0" borderId="1" xfId="15" applyNumberFormat="1" applyFont="1" applyBorder="1" applyAlignment="1">
      <alignment horizontal="right"/>
    </xf>
    <xf numFmtId="39" fontId="5" fillId="0" borderId="0" xfId="15" applyNumberFormat="1" applyFont="1" applyBorder="1" applyAlignment="1">
      <alignment/>
    </xf>
    <xf numFmtId="39" fontId="5" fillId="0" borderId="0" xfId="19" applyNumberFormat="1" applyFont="1">
      <alignment/>
      <protection/>
    </xf>
    <xf numFmtId="39" fontId="5" fillId="0" borderId="0" xfId="15" applyNumberFormat="1" applyFont="1" applyBorder="1" applyAlignment="1">
      <alignment horizontal="right"/>
    </xf>
    <xf numFmtId="179" fontId="5" fillId="0" borderId="0" xfId="19" applyNumberFormat="1" applyFont="1">
      <alignment/>
      <protection/>
    </xf>
    <xf numFmtId="179" fontId="5" fillId="0" borderId="0" xfId="15" applyNumberFormat="1" applyFont="1" applyBorder="1" applyAlignment="1">
      <alignment/>
    </xf>
    <xf numFmtId="179" fontId="5" fillId="0" borderId="0" xfId="15" applyNumberFormat="1" applyFont="1" applyBorder="1" applyAlignment="1">
      <alignment horizontal="right"/>
    </xf>
    <xf numFmtId="38" fontId="5" fillId="0" borderId="0" xfId="15" applyNumberFormat="1" applyFont="1" applyBorder="1" applyAlignment="1">
      <alignment horizontal="centerContinuous"/>
    </xf>
    <xf numFmtId="0" fontId="8" fillId="0" borderId="0" xfId="19" applyFont="1" applyBorder="1" applyAlignment="1">
      <alignment horizontal="centerContinuous"/>
      <protection/>
    </xf>
    <xf numFmtId="0" fontId="8" fillId="0" borderId="0" xfId="19" applyFont="1" applyBorder="1" applyAlignment="1">
      <alignment horizontal="center"/>
      <protection/>
    </xf>
    <xf numFmtId="41" fontId="9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19" applyNumberFormat="1" applyFont="1">
      <alignment/>
      <protection/>
    </xf>
    <xf numFmtId="41" fontId="0" fillId="0" borderId="13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41" fontId="0" fillId="0" borderId="15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41" fontId="0" fillId="0" borderId="0" xfId="0" applyNumberFormat="1" applyFont="1" applyAlignment="1">
      <alignment horizontal="center"/>
    </xf>
    <xf numFmtId="41" fontId="0" fillId="0" borderId="0" xfId="0" applyNumberFormat="1" applyFont="1" applyBorder="1" applyAlignment="1">
      <alignment horizontal="center"/>
    </xf>
    <xf numFmtId="41" fontId="0" fillId="0" borderId="16" xfId="0" applyNumberFormat="1" applyFont="1" applyBorder="1" applyAlignment="1">
      <alignment horizontal="center"/>
    </xf>
    <xf numFmtId="43" fontId="0" fillId="0" borderId="0" xfId="15" applyFont="1" applyAlignment="1">
      <alignment/>
    </xf>
    <xf numFmtId="41" fontId="0" fillId="0" borderId="1" xfId="0" applyNumberFormat="1" applyFont="1" applyBorder="1" applyAlignment="1">
      <alignment/>
    </xf>
    <xf numFmtId="43" fontId="0" fillId="0" borderId="1" xfId="15" applyFont="1" applyBorder="1" applyAlignment="1">
      <alignment/>
    </xf>
    <xf numFmtId="41" fontId="0" fillId="0" borderId="17" xfId="0" applyNumberFormat="1" applyFont="1" applyBorder="1" applyAlignment="1">
      <alignment/>
    </xf>
    <xf numFmtId="43" fontId="0" fillId="0" borderId="17" xfId="15" applyFont="1" applyBorder="1" applyAlignment="1">
      <alignment/>
    </xf>
    <xf numFmtId="41" fontId="0" fillId="0" borderId="0" xfId="0" applyNumberFormat="1" applyFont="1" applyBorder="1" applyAlignment="1">
      <alignment/>
    </xf>
    <xf numFmtId="43" fontId="0" fillId="0" borderId="0" xfId="15" applyFont="1" applyBorder="1" applyAlignment="1">
      <alignment/>
    </xf>
    <xf numFmtId="43" fontId="0" fillId="0" borderId="4" xfId="0" applyNumberFormat="1" applyFont="1" applyBorder="1" applyAlignment="1">
      <alignment/>
    </xf>
    <xf numFmtId="43" fontId="0" fillId="0" borderId="4" xfId="15" applyFont="1" applyBorder="1" applyAlignment="1">
      <alignment/>
    </xf>
    <xf numFmtId="43" fontId="0" fillId="0" borderId="18" xfId="0" applyNumberFormat="1" applyFont="1" applyBorder="1" applyAlignment="1">
      <alignment/>
    </xf>
    <xf numFmtId="43" fontId="0" fillId="0" borderId="9" xfId="0" applyNumberFormat="1" applyFont="1" applyBorder="1" applyAlignment="1">
      <alignment/>
    </xf>
    <xf numFmtId="41" fontId="0" fillId="0" borderId="7" xfId="0" applyNumberFormat="1" applyFont="1" applyBorder="1" applyAlignment="1">
      <alignment horizontal="center"/>
    </xf>
    <xf numFmtId="41" fontId="0" fillId="0" borderId="1" xfId="0" applyNumberFormat="1" applyFont="1" applyBorder="1" applyAlignment="1">
      <alignment horizontal="center"/>
    </xf>
    <xf numFmtId="41" fontId="0" fillId="0" borderId="2" xfId="0" applyNumberFormat="1" applyFont="1" applyBorder="1" applyAlignment="1">
      <alignment horizontal="center"/>
    </xf>
    <xf numFmtId="0" fontId="0" fillId="0" borderId="0" xfId="19" applyFont="1">
      <alignment/>
      <protection/>
    </xf>
    <xf numFmtId="0" fontId="10" fillId="0" borderId="0" xfId="19" applyFont="1">
      <alignment/>
      <protection/>
    </xf>
    <xf numFmtId="41" fontId="10" fillId="0" borderId="0" xfId="0" applyNumberFormat="1" applyFont="1" applyAlignment="1">
      <alignment horizontal="center"/>
    </xf>
    <xf numFmtId="41" fontId="0" fillId="0" borderId="14" xfId="0" applyNumberFormat="1" applyFont="1" applyBorder="1" applyAlignment="1">
      <alignment horizontal="center"/>
    </xf>
    <xf numFmtId="41" fontId="0" fillId="0" borderId="3" xfId="0" applyNumberFormat="1" applyFont="1" applyBorder="1" applyAlignment="1">
      <alignment horizontal="center"/>
    </xf>
    <xf numFmtId="41" fontId="0" fillId="0" borderId="18" xfId="0" applyNumberFormat="1" applyFont="1" applyBorder="1" applyAlignment="1">
      <alignment horizontal="center"/>
    </xf>
    <xf numFmtId="41" fontId="9" fillId="0" borderId="0" xfId="0" applyNumberFormat="1" applyFont="1" applyBorder="1" applyAlignment="1">
      <alignment/>
    </xf>
    <xf numFmtId="41" fontId="0" fillId="0" borderId="0" xfId="0" applyNumberFormat="1" applyFont="1" applyBorder="1" applyAlignment="1" quotePrefix="1">
      <alignment/>
    </xf>
    <xf numFmtId="41" fontId="9" fillId="2" borderId="4" xfId="0" applyNumberFormat="1" applyFont="1" applyFill="1" applyBorder="1" applyAlignment="1">
      <alignment/>
    </xf>
    <xf numFmtId="41" fontId="0" fillId="2" borderId="9" xfId="0" applyNumberFormat="1" applyFont="1" applyFill="1" applyBorder="1" applyAlignment="1">
      <alignment horizontal="center"/>
    </xf>
    <xf numFmtId="41" fontId="0" fillId="2" borderId="5" xfId="0" applyNumberFormat="1" applyFont="1" applyFill="1" applyBorder="1" applyAlignment="1">
      <alignment/>
    </xf>
    <xf numFmtId="41" fontId="0" fillId="2" borderId="6" xfId="0" applyNumberFormat="1" applyFont="1" applyFill="1" applyBorder="1" applyAlignment="1">
      <alignment horizontal="center"/>
    </xf>
    <xf numFmtId="41" fontId="0" fillId="2" borderId="5" xfId="20" applyNumberFormat="1" applyFont="1" applyFill="1" applyBorder="1">
      <alignment/>
      <protection/>
    </xf>
    <xf numFmtId="41" fontId="9" fillId="2" borderId="5" xfId="0" applyNumberFormat="1" applyFont="1" applyFill="1" applyBorder="1" applyAlignment="1">
      <alignment/>
    </xf>
    <xf numFmtId="41" fontId="0" fillId="2" borderId="19" xfId="0" applyNumberFormat="1" applyFont="1" applyFill="1" applyBorder="1" applyAlignment="1">
      <alignment horizontal="center"/>
    </xf>
    <xf numFmtId="41" fontId="9" fillId="2" borderId="7" xfId="0" applyNumberFormat="1" applyFont="1" applyFill="1" applyBorder="1" applyAlignment="1">
      <alignment/>
    </xf>
    <xf numFmtId="41" fontId="0" fillId="2" borderId="2" xfId="0" applyNumberFormat="1" applyFont="1" applyFill="1" applyBorder="1" applyAlignment="1">
      <alignment horizontal="center"/>
    </xf>
    <xf numFmtId="41" fontId="11" fillId="0" borderId="0" xfId="0" applyNumberFormat="1" applyFont="1" applyAlignment="1">
      <alignment horizontal="center"/>
    </xf>
    <xf numFmtId="41" fontId="9" fillId="0" borderId="0" xfId="0" applyNumberFormat="1" applyFont="1" applyBorder="1" applyAlignment="1">
      <alignment horizontal="center"/>
    </xf>
    <xf numFmtId="41" fontId="9" fillId="0" borderId="3" xfId="0" applyNumberFormat="1" applyFont="1" applyBorder="1" applyAlignment="1">
      <alignment horizontal="center"/>
    </xf>
    <xf numFmtId="41" fontId="9" fillId="2" borderId="18" xfId="0" applyNumberFormat="1" applyFont="1" applyFill="1" applyBorder="1" applyAlignment="1">
      <alignment/>
    </xf>
    <xf numFmtId="41" fontId="0" fillId="2" borderId="0" xfId="0" applyNumberFormat="1" applyFont="1" applyFill="1" applyBorder="1" applyAlignment="1">
      <alignment/>
    </xf>
    <xf numFmtId="41" fontId="0" fillId="2" borderId="0" xfId="20" applyNumberFormat="1" applyFont="1" applyFill="1" applyBorder="1">
      <alignment/>
      <protection/>
    </xf>
    <xf numFmtId="41" fontId="9" fillId="2" borderId="0" xfId="0" applyNumberFormat="1" applyFont="1" applyFill="1" applyBorder="1" applyAlignment="1">
      <alignment/>
    </xf>
    <xf numFmtId="41" fontId="9" fillId="2" borderId="1" xfId="0" applyNumberFormat="1" applyFont="1" applyFill="1" applyBorder="1" applyAlignment="1">
      <alignment/>
    </xf>
    <xf numFmtId="41" fontId="12" fillId="0" borderId="0" xfId="0" applyNumberFormat="1" applyFont="1" applyAlignment="1">
      <alignment horizontal="center"/>
    </xf>
    <xf numFmtId="170" fontId="5" fillId="0" borderId="0" xfId="15" applyNumberFormat="1" applyFont="1" applyBorder="1" applyAlignment="1">
      <alignment horizontal="right"/>
    </xf>
    <xf numFmtId="170" fontId="5" fillId="0" borderId="0" xfId="15" applyNumberFormat="1" applyFont="1" applyAlignment="1">
      <alignment horizontal="right"/>
    </xf>
    <xf numFmtId="170" fontId="5" fillId="0" borderId="1" xfId="15" applyNumberFormat="1" applyFont="1" applyBorder="1" applyAlignment="1">
      <alignment horizontal="right"/>
    </xf>
    <xf numFmtId="41" fontId="4" fillId="0" borderId="0" xfId="0" applyNumberFormat="1" applyFont="1" applyAlignment="1">
      <alignment/>
    </xf>
    <xf numFmtId="170" fontId="1" fillId="0" borderId="2" xfId="15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170" fontId="0" fillId="0" borderId="0" xfId="15" applyNumberFormat="1" applyAlignment="1">
      <alignment/>
    </xf>
    <xf numFmtId="170" fontId="0" fillId="0" borderId="16" xfId="15" applyNumberFormat="1" applyBorder="1" applyAlignment="1">
      <alignment/>
    </xf>
    <xf numFmtId="170" fontId="0" fillId="0" borderId="1" xfId="15" applyNumberFormat="1" applyBorder="1" applyAlignment="1">
      <alignment/>
    </xf>
    <xf numFmtId="170" fontId="0" fillId="0" borderId="14" xfId="15" applyNumberFormat="1" applyBorder="1" applyAlignment="1">
      <alignment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onsol worksheet Sep 2001 " xfId="19"/>
    <cellStyle name="Normal_jooei97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46</xdr:row>
      <xdr:rowOff>0</xdr:rowOff>
    </xdr:from>
    <xdr:ext cx="76200" cy="200025"/>
    <xdr:sp>
      <xdr:nvSpPr>
        <xdr:cNvPr id="1" name="Text 1"/>
        <xdr:cNvSpPr txBox="1">
          <a:spLocks noChangeArrowheads="1"/>
        </xdr:cNvSpPr>
      </xdr:nvSpPr>
      <xdr:spPr>
        <a:xfrm>
          <a:off x="0" y="809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76200" cy="200025"/>
    <xdr:sp>
      <xdr:nvSpPr>
        <xdr:cNvPr id="2" name="Text 3"/>
        <xdr:cNvSpPr txBox="1">
          <a:spLocks noChangeArrowheads="1"/>
        </xdr:cNvSpPr>
      </xdr:nvSpPr>
      <xdr:spPr>
        <a:xfrm>
          <a:off x="0" y="809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76200" cy="200025"/>
    <xdr:sp>
      <xdr:nvSpPr>
        <xdr:cNvPr id="3" name="Text 5"/>
        <xdr:cNvSpPr txBox="1">
          <a:spLocks noChangeArrowheads="1"/>
        </xdr:cNvSpPr>
      </xdr:nvSpPr>
      <xdr:spPr>
        <a:xfrm>
          <a:off x="0" y="809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76200" cy="200025"/>
    <xdr:sp>
      <xdr:nvSpPr>
        <xdr:cNvPr id="4" name="Text 6"/>
        <xdr:cNvSpPr txBox="1">
          <a:spLocks noChangeArrowheads="1"/>
        </xdr:cNvSpPr>
      </xdr:nvSpPr>
      <xdr:spPr>
        <a:xfrm>
          <a:off x="0" y="809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85725</xdr:rowOff>
    </xdr:from>
    <xdr:to>
      <xdr:col>3</xdr:col>
      <xdr:colOff>771525</xdr:colOff>
      <xdr:row>8</xdr:row>
      <xdr:rowOff>85725</xdr:rowOff>
    </xdr:to>
    <xdr:sp>
      <xdr:nvSpPr>
        <xdr:cNvPr id="1" name="Line 1"/>
        <xdr:cNvSpPr>
          <a:spLocks/>
        </xdr:cNvSpPr>
      </xdr:nvSpPr>
      <xdr:spPr>
        <a:xfrm>
          <a:off x="2667000" y="1381125"/>
          <a:ext cx="1514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85725</xdr:rowOff>
    </xdr:from>
    <xdr:to>
      <xdr:col>4</xdr:col>
      <xdr:colOff>990600</xdr:colOff>
      <xdr:row>8</xdr:row>
      <xdr:rowOff>85725</xdr:rowOff>
    </xdr:to>
    <xdr:sp>
      <xdr:nvSpPr>
        <xdr:cNvPr id="2" name="Line 2"/>
        <xdr:cNvSpPr>
          <a:spLocks/>
        </xdr:cNvSpPr>
      </xdr:nvSpPr>
      <xdr:spPr>
        <a:xfrm>
          <a:off x="4191000" y="1381125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workbookViewId="0" topLeftCell="A1">
      <selection activeCell="B46" sqref="B46"/>
    </sheetView>
  </sheetViews>
  <sheetFormatPr defaultColWidth="9.140625" defaultRowHeight="12.75"/>
  <cols>
    <col min="1" max="1" width="3.8515625" style="31" customWidth="1"/>
    <col min="2" max="2" width="32.140625" style="31" customWidth="1"/>
    <col min="3" max="3" width="12.7109375" style="31" bestFit="1" customWidth="1"/>
    <col min="4" max="4" width="2.140625" style="31" customWidth="1"/>
    <col min="5" max="5" width="15.421875" style="31" customWidth="1"/>
    <col min="6" max="6" width="2.140625" style="31" customWidth="1"/>
    <col min="7" max="7" width="12.7109375" style="31" customWidth="1"/>
    <col min="8" max="8" width="2.140625" style="31" customWidth="1"/>
    <col min="9" max="9" width="15.421875" style="31" customWidth="1"/>
    <col min="10" max="10" width="15.140625" style="31" customWidth="1"/>
    <col min="11" max="11" width="9.28125" style="31" customWidth="1"/>
    <col min="12" max="12" width="0" style="31" hidden="1" customWidth="1"/>
    <col min="13" max="16384" width="9.140625" style="31" customWidth="1"/>
  </cols>
  <sheetData>
    <row r="1" ht="13.5">
      <c r="A1" s="37" t="s">
        <v>0</v>
      </c>
    </row>
    <row r="2" ht="13.5">
      <c r="A2" s="37" t="s">
        <v>1</v>
      </c>
    </row>
    <row r="4" spans="1:2" ht="13.5">
      <c r="A4" s="33" t="s">
        <v>168</v>
      </c>
      <c r="B4" s="32"/>
    </row>
    <row r="5" spans="1:2" ht="13.5">
      <c r="A5" s="33"/>
      <c r="B5" s="32"/>
    </row>
    <row r="6" ht="13.5">
      <c r="A6" s="31" t="s">
        <v>2</v>
      </c>
    </row>
    <row r="7" ht="13.5">
      <c r="A7" s="31" t="s">
        <v>141</v>
      </c>
    </row>
    <row r="9" spans="1:2" ht="13.5">
      <c r="A9" s="34" t="s">
        <v>3</v>
      </c>
      <c r="B9" s="33"/>
    </row>
    <row r="10" spans="1:2" ht="13.5">
      <c r="A10" s="34"/>
      <c r="B10" s="33"/>
    </row>
    <row r="11" spans="3:11" ht="13.5">
      <c r="C11" s="47" t="s">
        <v>4</v>
      </c>
      <c r="D11" s="47"/>
      <c r="E11" s="47"/>
      <c r="F11" s="36"/>
      <c r="G11" s="47" t="s">
        <v>5</v>
      </c>
      <c r="H11" s="47"/>
      <c r="I11" s="47"/>
      <c r="K11" s="50"/>
    </row>
    <row r="12" spans="3:11" ht="13.5">
      <c r="C12" s="66"/>
      <c r="D12" s="65"/>
      <c r="E12" s="66" t="s">
        <v>6</v>
      </c>
      <c r="F12" s="36"/>
      <c r="G12" s="65"/>
      <c r="H12" s="65"/>
      <c r="I12" s="66" t="s">
        <v>6</v>
      </c>
      <c r="K12" s="50"/>
    </row>
    <row r="13" spans="3:11" ht="13.5">
      <c r="C13" s="66" t="s">
        <v>7</v>
      </c>
      <c r="D13" s="66"/>
      <c r="E13" s="66" t="s">
        <v>8</v>
      </c>
      <c r="F13" s="36"/>
      <c r="G13" s="66" t="s">
        <v>7</v>
      </c>
      <c r="H13" s="66"/>
      <c r="I13" s="66" t="s">
        <v>8</v>
      </c>
      <c r="K13" s="50"/>
    </row>
    <row r="14" spans="3:11" ht="13.5">
      <c r="C14" s="66" t="s">
        <v>9</v>
      </c>
      <c r="D14" s="66"/>
      <c r="E14" s="66" t="s">
        <v>9</v>
      </c>
      <c r="F14" s="36"/>
      <c r="G14" s="66" t="s">
        <v>10</v>
      </c>
      <c r="H14" s="66"/>
      <c r="I14" s="66" t="s">
        <v>11</v>
      </c>
      <c r="K14" s="50"/>
    </row>
    <row r="15" spans="1:11" ht="13.5">
      <c r="A15" s="36"/>
      <c r="B15" s="37"/>
      <c r="C15" s="38" t="s">
        <v>142</v>
      </c>
      <c r="D15" s="36"/>
      <c r="E15" s="38" t="s">
        <v>143</v>
      </c>
      <c r="F15" s="36"/>
      <c r="G15" s="38" t="s">
        <v>142</v>
      </c>
      <c r="H15" s="36"/>
      <c r="I15" s="38" t="s">
        <v>143</v>
      </c>
      <c r="K15" s="50"/>
    </row>
    <row r="16" spans="3:12" ht="13.5">
      <c r="C16" s="35" t="s">
        <v>12</v>
      </c>
      <c r="D16" s="36"/>
      <c r="E16" s="35" t="s">
        <v>12</v>
      </c>
      <c r="F16" s="36"/>
      <c r="G16" s="35" t="s">
        <v>12</v>
      </c>
      <c r="H16" s="36"/>
      <c r="I16" s="35" t="s">
        <v>12</v>
      </c>
      <c r="K16" s="50"/>
      <c r="L16" s="35" t="s">
        <v>13</v>
      </c>
    </row>
    <row r="17" spans="1:11" ht="13.5">
      <c r="A17" s="39"/>
      <c r="C17" s="40"/>
      <c r="D17" s="40"/>
      <c r="E17" s="40"/>
      <c r="F17" s="40"/>
      <c r="G17" s="40"/>
      <c r="H17" s="40"/>
      <c r="I17" s="40"/>
      <c r="K17" s="50"/>
    </row>
    <row r="18" spans="1:11" ht="13.5">
      <c r="A18" s="39">
        <v>1</v>
      </c>
      <c r="B18" s="42" t="s">
        <v>14</v>
      </c>
      <c r="C18" s="51">
        <f>Consol_PL!B16/1000</f>
        <v>12655.245</v>
      </c>
      <c r="D18" s="52"/>
      <c r="E18" s="117">
        <f>Consol_PL!C16/1000</f>
        <v>0</v>
      </c>
      <c r="F18" s="53"/>
      <c r="G18" s="51">
        <f>Consol_PL!D16/1000</f>
        <v>14557.239</v>
      </c>
      <c r="H18" s="51"/>
      <c r="I18" s="117">
        <f>Consol_PL!E16/1000</f>
        <v>0</v>
      </c>
      <c r="K18" s="50"/>
    </row>
    <row r="19" spans="1:11" ht="13.5">
      <c r="A19" s="39"/>
      <c r="B19" s="42"/>
      <c r="C19" s="54"/>
      <c r="D19" s="55"/>
      <c r="E19" s="118"/>
      <c r="F19" s="41"/>
      <c r="G19" s="54"/>
      <c r="H19" s="54"/>
      <c r="I19" s="118"/>
      <c r="K19" s="50"/>
    </row>
    <row r="20" spans="1:9" ht="13.5">
      <c r="A20" s="39">
        <v>2</v>
      </c>
      <c r="B20" s="46" t="s">
        <v>15</v>
      </c>
      <c r="C20" s="51">
        <f>Consol_PL!B30/1000</f>
        <v>1845.528</v>
      </c>
      <c r="D20" s="55"/>
      <c r="E20" s="118">
        <f>Consol_PL!C30/1000</f>
        <v>0</v>
      </c>
      <c r="F20" s="41"/>
      <c r="G20" s="54">
        <f>Consol_PL!D30/1000</f>
        <v>-174241.861</v>
      </c>
      <c r="H20" s="54"/>
      <c r="I20" s="118">
        <f>Consol_PL!E30/1000</f>
        <v>0</v>
      </c>
    </row>
    <row r="21" spans="1:9" ht="13.5">
      <c r="A21" s="39"/>
      <c r="B21" s="42"/>
      <c r="C21" s="54"/>
      <c r="D21" s="55"/>
      <c r="E21" s="118"/>
      <c r="F21" s="41"/>
      <c r="G21" s="54"/>
      <c r="H21" s="54"/>
      <c r="I21" s="118"/>
    </row>
    <row r="22" spans="1:9" ht="13.5">
      <c r="A22" s="39">
        <v>3</v>
      </c>
      <c r="B22" s="46" t="s">
        <v>16</v>
      </c>
      <c r="C22" s="51">
        <f>Consol_PL!B40/1000</f>
        <v>1862.967</v>
      </c>
      <c r="D22" s="52"/>
      <c r="E22" s="117">
        <f>Consol_PL!C40/1000</f>
        <v>0</v>
      </c>
      <c r="F22" s="41"/>
      <c r="G22" s="51">
        <f>Consol_PL!D40/1000</f>
        <v>-174223.853</v>
      </c>
      <c r="H22" s="51"/>
      <c r="I22" s="117">
        <f>Consol_PL!E40/1000</f>
        <v>0</v>
      </c>
    </row>
    <row r="23" spans="1:9" ht="13.5">
      <c r="A23" s="39"/>
      <c r="B23" s="46" t="s">
        <v>17</v>
      </c>
      <c r="C23" s="51"/>
      <c r="D23" s="52"/>
      <c r="E23" s="117"/>
      <c r="F23" s="41"/>
      <c r="G23" s="51"/>
      <c r="H23" s="51"/>
      <c r="I23" s="117"/>
    </row>
    <row r="24" spans="1:9" ht="13.5">
      <c r="A24" s="39"/>
      <c r="B24" s="42"/>
      <c r="C24" s="51"/>
      <c r="D24" s="52"/>
      <c r="E24" s="117"/>
      <c r="F24" s="41"/>
      <c r="G24" s="51"/>
      <c r="H24" s="51"/>
      <c r="I24" s="117"/>
    </row>
    <row r="25" spans="1:9" ht="13.5">
      <c r="A25" s="39">
        <v>4</v>
      </c>
      <c r="B25" s="46" t="s">
        <v>18</v>
      </c>
      <c r="C25" s="56">
        <f>Consol_PL!B40/1000</f>
        <v>1862.967</v>
      </c>
      <c r="D25" s="52"/>
      <c r="E25" s="119">
        <f>SUM(E22:E24)</f>
        <v>0</v>
      </c>
      <c r="F25" s="41"/>
      <c r="G25" s="56">
        <f>Consol_PL!D40/1000</f>
        <v>-174223.853</v>
      </c>
      <c r="H25" s="51"/>
      <c r="I25" s="119">
        <f>Consol_PL!E40/1000</f>
        <v>0</v>
      </c>
    </row>
    <row r="26" spans="1:9" ht="13.5">
      <c r="A26" s="39"/>
      <c r="B26" s="42"/>
      <c r="C26" s="51"/>
      <c r="D26" s="52"/>
      <c r="E26" s="117"/>
      <c r="F26" s="41"/>
      <c r="G26" s="51"/>
      <c r="H26" s="51"/>
      <c r="I26" s="117"/>
    </row>
    <row r="27" spans="1:9" ht="13.5">
      <c r="A27" s="39">
        <v>5</v>
      </c>
      <c r="B27" s="42" t="s">
        <v>19</v>
      </c>
      <c r="C27" s="57">
        <f>Consol_PL!B43</f>
        <v>0.02289642159953695</v>
      </c>
      <c r="D27" s="58"/>
      <c r="E27" s="119">
        <f>Consol_PL!C43</f>
        <v>0</v>
      </c>
      <c r="F27" s="59"/>
      <c r="G27" s="57">
        <f>Consol_PL!D43</f>
        <v>-5.537991587601098</v>
      </c>
      <c r="H27" s="60"/>
      <c r="I27" s="119">
        <f>Consol_PL!E43</f>
        <v>0</v>
      </c>
    </row>
    <row r="28" spans="1:9" ht="13.5">
      <c r="A28" s="39"/>
      <c r="B28" s="42"/>
      <c r="C28" s="51"/>
      <c r="D28" s="52"/>
      <c r="E28" s="117"/>
      <c r="F28" s="41"/>
      <c r="G28" s="51"/>
      <c r="H28" s="51"/>
      <c r="I28" s="117"/>
    </row>
    <row r="29" spans="1:9" ht="13.5">
      <c r="A29" s="39">
        <v>6</v>
      </c>
      <c r="B29" s="42" t="s">
        <v>20</v>
      </c>
      <c r="C29" s="117">
        <v>0</v>
      </c>
      <c r="D29" s="44"/>
      <c r="E29" s="117">
        <v>0</v>
      </c>
      <c r="F29" s="45"/>
      <c r="G29" s="117">
        <v>0</v>
      </c>
      <c r="H29" s="43"/>
      <c r="I29" s="117">
        <v>0</v>
      </c>
    </row>
    <row r="30" spans="1:9" ht="30" customHeight="1">
      <c r="A30" s="39"/>
      <c r="B30" s="42"/>
      <c r="C30" s="64" t="s">
        <v>21</v>
      </c>
      <c r="D30" s="64"/>
      <c r="E30" s="64"/>
      <c r="F30" s="45"/>
      <c r="G30" s="64" t="s">
        <v>22</v>
      </c>
      <c r="H30" s="64"/>
      <c r="I30" s="64"/>
    </row>
    <row r="31" spans="1:9" ht="13.5">
      <c r="A31" s="39"/>
      <c r="B31" s="42"/>
      <c r="C31" s="64" t="s">
        <v>23</v>
      </c>
      <c r="D31" s="64"/>
      <c r="E31" s="64"/>
      <c r="F31" s="45"/>
      <c r="G31" s="64" t="s">
        <v>24</v>
      </c>
      <c r="H31" s="64"/>
      <c r="I31" s="64"/>
    </row>
    <row r="32" spans="1:9" ht="25.5" customHeight="1">
      <c r="A32" s="39">
        <v>7</v>
      </c>
      <c r="B32" s="46" t="s">
        <v>25</v>
      </c>
      <c r="C32" s="61"/>
      <c r="D32" s="62"/>
      <c r="E32" s="63">
        <f>(Consol_BS!B42-Consol_BS!B16)/Consol_BS!B36</f>
        <v>0.45773569658791086</v>
      </c>
      <c r="F32" s="61"/>
      <c r="G32" s="63"/>
      <c r="H32" s="63"/>
      <c r="I32" s="63">
        <f>(Consol_BS!D42-Consol_BS!D16)/Consol_BS!D36</f>
        <v>-2729.5</v>
      </c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1" ht="13.5">
      <c r="A51" s="92" t="s">
        <v>26</v>
      </c>
    </row>
    <row r="52" ht="13.5">
      <c r="A52" s="91"/>
    </row>
    <row r="53" ht="13.5">
      <c r="A53" s="68" t="s">
        <v>147</v>
      </c>
    </row>
    <row r="54" ht="13.5">
      <c r="A54" s="68" t="s">
        <v>27</v>
      </c>
    </row>
  </sheetData>
  <printOptions horizontalCentered="1"/>
  <pageMargins left="0.45" right="0.32" top="0.78" bottom="0.59" header="0.5" footer="0.5"/>
  <pageSetup fitToHeight="1" fitToWidth="1"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A56" sqref="A56"/>
    </sheetView>
  </sheetViews>
  <sheetFormatPr defaultColWidth="9.140625" defaultRowHeight="12.75"/>
  <cols>
    <col min="1" max="1" width="36.00390625" style="68" customWidth="1"/>
    <col min="2" max="2" width="14.8515625" style="68" customWidth="1"/>
    <col min="3" max="3" width="15.7109375" style="68" customWidth="1"/>
    <col min="4" max="4" width="14.7109375" style="68" customWidth="1"/>
    <col min="5" max="5" width="14.28125" style="68" customWidth="1"/>
    <col min="6" max="6" width="5.8515625" style="68" customWidth="1"/>
    <col min="7" max="7" width="9.28125" style="68" customWidth="1"/>
    <col min="8" max="16384" width="9.140625" style="68" customWidth="1"/>
  </cols>
  <sheetData>
    <row r="1" ht="12.75">
      <c r="A1" s="67" t="str">
        <f>Summary!A1</f>
        <v>MITHRIL BERHAD</v>
      </c>
    </row>
    <row r="2" ht="12.75">
      <c r="A2" s="37" t="s">
        <v>1</v>
      </c>
    </row>
    <row r="4" ht="12.75">
      <c r="A4" s="67" t="s">
        <v>28</v>
      </c>
    </row>
    <row r="5" ht="12.75">
      <c r="A5" s="67" t="s">
        <v>144</v>
      </c>
    </row>
    <row r="6" ht="12.75">
      <c r="A6" s="69"/>
    </row>
    <row r="7" spans="2:5" ht="12.75">
      <c r="B7" s="70" t="s">
        <v>29</v>
      </c>
      <c r="C7" s="71"/>
      <c r="D7" s="71"/>
      <c r="E7" s="72"/>
    </row>
    <row r="8" spans="2:5" ht="12.75">
      <c r="B8" s="73">
        <v>2004</v>
      </c>
      <c r="C8" s="73">
        <v>2003</v>
      </c>
      <c r="D8" s="73">
        <v>2004</v>
      </c>
      <c r="E8" s="73">
        <v>2003</v>
      </c>
    </row>
    <row r="9" spans="2:5" ht="12.75">
      <c r="B9" s="74" t="s">
        <v>30</v>
      </c>
      <c r="C9" s="74" t="s">
        <v>31</v>
      </c>
      <c r="D9" s="74" t="s">
        <v>146</v>
      </c>
      <c r="E9" s="74" t="s">
        <v>146</v>
      </c>
    </row>
    <row r="10" spans="2:5" ht="12.75">
      <c r="B10" s="74" t="s">
        <v>32</v>
      </c>
      <c r="C10" s="74" t="s">
        <v>32</v>
      </c>
      <c r="D10" s="74" t="s">
        <v>33</v>
      </c>
      <c r="E10" s="74" t="s">
        <v>33</v>
      </c>
    </row>
    <row r="11" spans="2:5" ht="12.75">
      <c r="B11" s="75" t="s">
        <v>145</v>
      </c>
      <c r="C11" s="75" t="s">
        <v>145</v>
      </c>
      <c r="D11" s="75" t="s">
        <v>34</v>
      </c>
      <c r="E11" s="75" t="s">
        <v>34</v>
      </c>
    </row>
    <row r="12" spans="2:5" ht="13.5" thickBot="1">
      <c r="B12" s="76"/>
      <c r="C12" s="76"/>
      <c r="D12" s="76"/>
      <c r="E12" s="76"/>
    </row>
    <row r="13" spans="2:5" ht="12.75">
      <c r="B13" s="74"/>
      <c r="C13" s="74"/>
      <c r="D13" s="74"/>
      <c r="E13" s="74"/>
    </row>
    <row r="14" spans="2:5" ht="12.75">
      <c r="B14" s="74" t="s">
        <v>35</v>
      </c>
      <c r="C14" s="74" t="s">
        <v>35</v>
      </c>
      <c r="D14" s="74" t="s">
        <v>35</v>
      </c>
      <c r="E14" s="74" t="s">
        <v>35</v>
      </c>
    </row>
    <row r="15" spans="2:5" ht="12.75">
      <c r="B15" s="74"/>
      <c r="C15" s="74"/>
      <c r="D15" s="74"/>
      <c r="E15" s="74"/>
    </row>
    <row r="16" spans="1:5" ht="12.75">
      <c r="A16" s="68" t="s">
        <v>36</v>
      </c>
      <c r="B16" s="68">
        <f>D16-1901994</f>
        <v>12655245</v>
      </c>
      <c r="C16" s="77">
        <v>0</v>
      </c>
      <c r="D16" s="68">
        <v>14557239</v>
      </c>
      <c r="E16" s="77">
        <v>0</v>
      </c>
    </row>
    <row r="17" spans="3:5" ht="12.75">
      <c r="C17" s="77"/>
      <c r="E17" s="77"/>
    </row>
    <row r="18" spans="1:5" ht="12.75">
      <c r="A18" s="68" t="s">
        <v>37</v>
      </c>
      <c r="B18" s="68">
        <f>D18+215994529-211762296</f>
        <v>-9345422</v>
      </c>
      <c r="C18" s="77">
        <v>0</v>
      </c>
      <c r="D18" s="68">
        <f>-13557625-334360+43959+308631-38260</f>
        <v>-13577655</v>
      </c>
      <c r="E18" s="77">
        <v>0</v>
      </c>
    </row>
    <row r="19" spans="3:5" ht="12.75">
      <c r="C19" s="77"/>
      <c r="E19" s="77"/>
    </row>
    <row r="20" spans="1:5" ht="12.75">
      <c r="A20" s="68" t="s">
        <v>38</v>
      </c>
      <c r="B20" s="68">
        <f>D20-38765731+38737233</f>
        <v>273908</v>
      </c>
      <c r="C20" s="77">
        <v>0</v>
      </c>
      <c r="D20" s="68">
        <f>39039639-38737233</f>
        <v>302406</v>
      </c>
      <c r="E20" s="77">
        <v>0</v>
      </c>
    </row>
    <row r="21" spans="2:5" ht="12.75">
      <c r="B21" s="78"/>
      <c r="C21" s="78"/>
      <c r="D21" s="78"/>
      <c r="E21" s="78"/>
    </row>
    <row r="23" spans="1:5" ht="12.75">
      <c r="A23" s="68" t="s">
        <v>39</v>
      </c>
      <c r="B23" s="68">
        <f>SUM(B16:B20)</f>
        <v>3583731</v>
      </c>
      <c r="C23" s="77">
        <f>SUM(C16:C20)</f>
        <v>0</v>
      </c>
      <c r="D23" s="68">
        <f>SUM(D16:D20)</f>
        <v>1281990</v>
      </c>
      <c r="E23" s="77">
        <f>SUM(E16:E20)</f>
        <v>0</v>
      </c>
    </row>
    <row r="24" spans="3:5" ht="12.75">
      <c r="C24" s="77"/>
      <c r="E24" s="77"/>
    </row>
    <row r="25" spans="1:5" ht="12.75">
      <c r="A25" s="68" t="s">
        <v>40</v>
      </c>
      <c r="B25" s="68">
        <f>D25+760585</f>
        <v>-1738203</v>
      </c>
      <c r="C25" s="77">
        <v>0</v>
      </c>
      <c r="D25" s="68">
        <f>-2498788</f>
        <v>-2498788</v>
      </c>
      <c r="E25" s="77">
        <v>0</v>
      </c>
    </row>
    <row r="26" spans="3:5" ht="12.75">
      <c r="C26" s="77"/>
      <c r="E26" s="77"/>
    </row>
    <row r="27" spans="1:5" ht="12.75">
      <c r="A27" s="68" t="s">
        <v>41</v>
      </c>
      <c r="B27" s="68">
        <f>D27-38737233+211762296</f>
        <v>0</v>
      </c>
      <c r="C27" s="77">
        <f>E27-0</f>
        <v>0</v>
      </c>
      <c r="D27" s="68">
        <f>38737233-211762296</f>
        <v>-173025063</v>
      </c>
      <c r="E27" s="77">
        <f>G27-0</f>
        <v>0</v>
      </c>
    </row>
    <row r="28" spans="2:5" ht="12.75">
      <c r="B28" s="78"/>
      <c r="C28" s="78"/>
      <c r="D28" s="78"/>
      <c r="E28" s="78"/>
    </row>
    <row r="30" spans="1:5" ht="12.75">
      <c r="A30" s="68" t="s">
        <v>42</v>
      </c>
      <c r="B30" s="68">
        <f>SUM(B23:B27)</f>
        <v>1845528</v>
      </c>
      <c r="C30" s="77">
        <f>SUM(C23:C27)</f>
        <v>0</v>
      </c>
      <c r="D30" s="68">
        <f>SUM(D23:D27)</f>
        <v>-174241861</v>
      </c>
      <c r="E30" s="77">
        <f>SUM(E23:E27)</f>
        <v>0</v>
      </c>
    </row>
    <row r="31" spans="3:5" ht="12.75">
      <c r="C31" s="77"/>
      <c r="E31" s="77"/>
    </row>
    <row r="32" spans="1:5" ht="12.75">
      <c r="A32" s="68" t="s">
        <v>43</v>
      </c>
      <c r="B32" s="68">
        <f>D32-569</f>
        <v>17439</v>
      </c>
      <c r="C32" s="77">
        <v>0</v>
      </c>
      <c r="D32" s="68">
        <f>-416127+434135</f>
        <v>18008</v>
      </c>
      <c r="E32" s="77">
        <v>0</v>
      </c>
    </row>
    <row r="33" spans="2:5" ht="12.75">
      <c r="B33" s="78"/>
      <c r="C33" s="79"/>
      <c r="D33" s="78"/>
      <c r="E33" s="79"/>
    </row>
    <row r="34" spans="3:5" ht="12.75">
      <c r="C34" s="77"/>
      <c r="E34" s="77"/>
    </row>
    <row r="35" spans="1:5" ht="12.75">
      <c r="A35" s="68" t="s">
        <v>44</v>
      </c>
      <c r="B35" s="68">
        <f>SUM(B30:B32)</f>
        <v>1862967</v>
      </c>
      <c r="C35" s="77">
        <f>SUM(C30:C32)</f>
        <v>0</v>
      </c>
      <c r="D35" s="68">
        <f>SUM(D30:D32)</f>
        <v>-174223853</v>
      </c>
      <c r="E35" s="77">
        <f>SUM(E30:E32)</f>
        <v>0</v>
      </c>
    </row>
    <row r="36" spans="3:5" ht="12.75">
      <c r="C36" s="77"/>
      <c r="E36" s="77"/>
    </row>
    <row r="37" spans="1:5" ht="12.75">
      <c r="A37" s="68" t="s">
        <v>184</v>
      </c>
      <c r="B37" s="68">
        <v>0</v>
      </c>
      <c r="C37" s="77">
        <f>E37-0</f>
        <v>0</v>
      </c>
      <c r="D37" s="68">
        <v>0</v>
      </c>
      <c r="E37" s="77">
        <f>G37-0</f>
        <v>0</v>
      </c>
    </row>
    <row r="38" spans="2:5" ht="12.75">
      <c r="B38" s="78"/>
      <c r="C38" s="79"/>
      <c r="D38" s="78"/>
      <c r="E38" s="78"/>
    </row>
    <row r="39" ht="12.75">
      <c r="C39" s="77"/>
    </row>
    <row r="40" spans="1:5" ht="13.5" thickBot="1">
      <c r="A40" s="68" t="s">
        <v>45</v>
      </c>
      <c r="B40" s="80">
        <f>SUM(B35:B37)</f>
        <v>1862967</v>
      </c>
      <c r="C40" s="81">
        <f>SUM(C35:C37)</f>
        <v>0</v>
      </c>
      <c r="D40" s="80">
        <f>SUM(D35:D37)</f>
        <v>-174223853</v>
      </c>
      <c r="E40" s="81">
        <f>SUM(E35:E37)</f>
        <v>0</v>
      </c>
    </row>
    <row r="41" spans="2:5" ht="13.5" thickTop="1">
      <c r="B41" s="82"/>
      <c r="C41" s="83"/>
      <c r="D41" s="82"/>
      <c r="E41" s="82"/>
    </row>
    <row r="42" ht="12.75">
      <c r="C42" s="77"/>
    </row>
    <row r="43" spans="1:5" ht="12.75">
      <c r="A43" s="68" t="s">
        <v>46</v>
      </c>
      <c r="B43" s="84">
        <f>B40/81364985</f>
        <v>0.02289642159953695</v>
      </c>
      <c r="C43" s="85">
        <f>C40/Consol_BS!D36*100</f>
        <v>0</v>
      </c>
      <c r="D43" s="86">
        <f>D40/31459754</f>
        <v>-5.537991587601098</v>
      </c>
      <c r="E43" s="87">
        <f>E40/Consol_BS!D36*100</f>
        <v>0</v>
      </c>
    </row>
    <row r="44" spans="1:5" ht="12.75">
      <c r="A44" s="68" t="s">
        <v>47</v>
      </c>
      <c r="B44" s="88" t="s">
        <v>48</v>
      </c>
      <c r="C44" s="88" t="s">
        <v>48</v>
      </c>
      <c r="D44" s="89" t="s">
        <v>48</v>
      </c>
      <c r="E44" s="90" t="s">
        <v>48</v>
      </c>
    </row>
    <row r="45" ht="13.5" customHeight="1"/>
    <row r="46" ht="13.5" customHeight="1"/>
    <row r="47" ht="13.5" customHeight="1"/>
    <row r="48" ht="13.5" customHeight="1"/>
    <row r="49" spans="1:7" ht="12.75">
      <c r="A49" s="91"/>
      <c r="B49" s="91"/>
      <c r="C49" s="91"/>
      <c r="D49" s="91"/>
      <c r="E49" s="91"/>
      <c r="F49" s="91"/>
      <c r="G49" s="91"/>
    </row>
    <row r="50" spans="1:7" ht="12.75">
      <c r="A50" s="92" t="s">
        <v>26</v>
      </c>
      <c r="B50" s="91"/>
      <c r="C50" s="91"/>
      <c r="D50" s="91"/>
      <c r="E50" s="91"/>
      <c r="F50" s="91"/>
      <c r="G50" s="91"/>
    </row>
    <row r="51" spans="1:7" ht="12.75">
      <c r="A51" s="91"/>
      <c r="B51" s="91"/>
      <c r="C51" s="91"/>
      <c r="D51" s="91"/>
      <c r="E51" s="91"/>
      <c r="F51" s="91"/>
      <c r="G51" s="91"/>
    </row>
    <row r="52" ht="12.75">
      <c r="A52" s="68" t="s">
        <v>147</v>
      </c>
    </row>
    <row r="53" ht="12.75">
      <c r="A53" s="68" t="s">
        <v>49</v>
      </c>
    </row>
    <row r="55" ht="12.75">
      <c r="A55" s="68" t="s">
        <v>185</v>
      </c>
    </row>
    <row r="56" ht="12.75">
      <c r="A56" s="68" t="s">
        <v>187</v>
      </c>
    </row>
    <row r="57" ht="12.75">
      <c r="A57" s="68" t="s">
        <v>186</v>
      </c>
    </row>
    <row r="58" ht="12.75">
      <c r="A58" s="68" t="s">
        <v>154</v>
      </c>
    </row>
  </sheetData>
  <printOptions horizontalCentered="1"/>
  <pageMargins left="0.45" right="0.2" top="0.65" bottom="0.65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9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54.8515625" style="68" customWidth="1"/>
    <col min="2" max="2" width="16.140625" style="74" customWidth="1"/>
    <col min="3" max="3" width="1.7109375" style="74" customWidth="1"/>
    <col min="4" max="4" width="14.7109375" style="74" customWidth="1"/>
    <col min="5" max="5" width="12.7109375" style="68" customWidth="1"/>
    <col min="6" max="12" width="9.7109375" style="68" customWidth="1"/>
    <col min="13" max="16384" width="9.140625" style="68" customWidth="1"/>
  </cols>
  <sheetData>
    <row r="1" ht="12.75">
      <c r="A1" s="67" t="str">
        <f>Summary!A1</f>
        <v>MITHRIL BERHAD</v>
      </c>
    </row>
    <row r="2" ht="12.75">
      <c r="A2" s="37" t="s">
        <v>1</v>
      </c>
    </row>
    <row r="4" ht="12.75">
      <c r="A4" s="67" t="s">
        <v>50</v>
      </c>
    </row>
    <row r="5" ht="12.75">
      <c r="A5" s="67" t="s">
        <v>148</v>
      </c>
    </row>
    <row r="7" spans="2:4" ht="12.75">
      <c r="B7" s="74" t="s">
        <v>51</v>
      </c>
      <c r="D7" s="74" t="s">
        <v>51</v>
      </c>
    </row>
    <row r="8" spans="2:4" ht="12.75">
      <c r="B8" s="74" t="s">
        <v>149</v>
      </c>
      <c r="D8" s="74" t="s">
        <v>52</v>
      </c>
    </row>
    <row r="9" spans="2:4" ht="12.75">
      <c r="B9" s="74" t="s">
        <v>53</v>
      </c>
      <c r="D9" s="74" t="s">
        <v>54</v>
      </c>
    </row>
    <row r="10" spans="2:4" ht="12.75">
      <c r="B10" s="74" t="s">
        <v>35</v>
      </c>
      <c r="D10" s="74" t="s">
        <v>35</v>
      </c>
    </row>
    <row r="11" spans="2:4" ht="12.75">
      <c r="B11" s="93" t="s">
        <v>55</v>
      </c>
      <c r="D11" s="93" t="s">
        <v>56</v>
      </c>
    </row>
    <row r="13" spans="1:4" ht="12.75">
      <c r="A13" s="68" t="s">
        <v>57</v>
      </c>
      <c r="B13" s="74">
        <v>53208347</v>
      </c>
      <c r="D13" s="74">
        <v>0</v>
      </c>
    </row>
    <row r="14" spans="1:2" ht="12.75">
      <c r="A14" s="68" t="s">
        <v>180</v>
      </c>
      <c r="B14" s="74">
        <v>86944000</v>
      </c>
    </row>
    <row r="15" spans="1:4" ht="12.75">
      <c r="A15" s="68" t="s">
        <v>58</v>
      </c>
      <c r="B15" s="74">
        <v>7178</v>
      </c>
      <c r="D15" s="74">
        <v>0</v>
      </c>
    </row>
    <row r="16" spans="1:4" ht="12.75">
      <c r="A16" s="68" t="s">
        <v>155</v>
      </c>
      <c r="B16" s="89">
        <v>25913354</v>
      </c>
      <c r="D16" s="89">
        <v>0</v>
      </c>
    </row>
    <row r="17" spans="2:4" ht="12.75">
      <c r="B17" s="74">
        <f>SUM(B13:B16)</f>
        <v>166072879</v>
      </c>
      <c r="D17" s="74">
        <f>SUM(D13:D16)</f>
        <v>0</v>
      </c>
    </row>
    <row r="19" ht="12.75">
      <c r="A19" s="67" t="s">
        <v>59</v>
      </c>
    </row>
    <row r="20" spans="1:4" ht="12.75">
      <c r="A20" s="68" t="s">
        <v>60</v>
      </c>
      <c r="B20" s="74">
        <f>15725892</f>
        <v>15725892</v>
      </c>
      <c r="D20" s="74">
        <v>0</v>
      </c>
    </row>
    <row r="21" spans="1:4" ht="12.75">
      <c r="A21" s="68" t="s">
        <v>61</v>
      </c>
      <c r="B21" s="74">
        <f>6110167+2881407</f>
        <v>8991574</v>
      </c>
      <c r="D21" s="74">
        <v>0</v>
      </c>
    </row>
    <row r="22" spans="1:4" ht="12.75">
      <c r="A22" s="68" t="s">
        <v>62</v>
      </c>
      <c r="B22" s="89">
        <f>7851823</f>
        <v>7851823</v>
      </c>
      <c r="D22" s="89">
        <v>2</v>
      </c>
    </row>
    <row r="23" spans="2:4" ht="12.75">
      <c r="B23" s="94">
        <f>SUM(B20:B22)</f>
        <v>32569289</v>
      </c>
      <c r="D23" s="94">
        <f>SUM(D20:D22)</f>
        <v>2</v>
      </c>
    </row>
    <row r="25" ht="12.75">
      <c r="A25" s="67" t="s">
        <v>63</v>
      </c>
    </row>
    <row r="26" spans="1:4" ht="12.75">
      <c r="A26" s="68" t="s">
        <v>64</v>
      </c>
      <c r="B26" s="74">
        <f>7608411+12635995+38260+2500000</f>
        <v>22782666</v>
      </c>
      <c r="D26" s="74">
        <v>5461</v>
      </c>
    </row>
    <row r="27" spans="1:4" ht="12.75">
      <c r="A27" s="68" t="s">
        <v>65</v>
      </c>
      <c r="B27" s="74">
        <f>8237256+5105320</f>
        <v>13342576</v>
      </c>
      <c r="D27" s="74">
        <v>0</v>
      </c>
    </row>
    <row r="28" spans="1:4" ht="12.75">
      <c r="A28" s="68" t="s">
        <v>66</v>
      </c>
      <c r="B28" s="74">
        <v>3980139</v>
      </c>
      <c r="D28" s="74">
        <v>0</v>
      </c>
    </row>
    <row r="29" spans="2:4" ht="12.75">
      <c r="B29" s="94">
        <f>SUM(B26:B28)</f>
        <v>40105381</v>
      </c>
      <c r="D29" s="94">
        <f>SUM(D26:D28)</f>
        <v>5461</v>
      </c>
    </row>
    <row r="31" spans="1:4" ht="12.75">
      <c r="A31" s="67" t="s">
        <v>67</v>
      </c>
      <c r="B31" s="74">
        <f>B23-B29</f>
        <v>-7536092</v>
      </c>
      <c r="D31" s="74">
        <f>D23-D29</f>
        <v>-5459</v>
      </c>
    </row>
    <row r="33" spans="1:4" ht="13.5" thickBot="1">
      <c r="A33" s="67"/>
      <c r="B33" s="95">
        <f>B17+B31</f>
        <v>158536787</v>
      </c>
      <c r="D33" s="95">
        <f>D17+D31</f>
        <v>-5459</v>
      </c>
    </row>
    <row r="34" ht="13.5" thickTop="1"/>
    <row r="36" spans="1:4" ht="12.75">
      <c r="A36" s="68" t="s">
        <v>68</v>
      </c>
      <c r="B36" s="74">
        <f>83176989</f>
        <v>83176989</v>
      </c>
      <c r="D36" s="74">
        <v>2</v>
      </c>
    </row>
    <row r="37" spans="1:4" ht="12.75">
      <c r="A37" s="68" t="s">
        <v>69</v>
      </c>
      <c r="B37" s="74">
        <v>11181147</v>
      </c>
      <c r="D37" s="74">
        <v>0</v>
      </c>
    </row>
    <row r="38" spans="1:4" ht="12.75">
      <c r="A38" s="68" t="s">
        <v>70</v>
      </c>
      <c r="B38" s="74">
        <v>4572452</v>
      </c>
      <c r="D38" s="74">
        <v>0</v>
      </c>
    </row>
    <row r="39" spans="1:2" ht="12.75">
      <c r="A39" s="68" t="s">
        <v>156</v>
      </c>
      <c r="B39" s="74">
        <v>46740208</v>
      </c>
    </row>
    <row r="40" spans="1:2" ht="12.75">
      <c r="A40" s="68" t="s">
        <v>157</v>
      </c>
      <c r="B40" s="74">
        <v>12205861</v>
      </c>
    </row>
    <row r="41" spans="1:4" ht="12.75">
      <c r="A41" s="68" t="s">
        <v>71</v>
      </c>
      <c r="B41" s="89">
        <f>80339088+Consol_PL!D40+D41</f>
        <v>-93890226</v>
      </c>
      <c r="D41" s="89">
        <v>-5461</v>
      </c>
    </row>
    <row r="42" spans="1:4" ht="12.75">
      <c r="A42" s="68" t="s">
        <v>163</v>
      </c>
      <c r="B42" s="74">
        <f>SUM(B36:B41)</f>
        <v>63986431</v>
      </c>
      <c r="D42" s="74">
        <f>SUM(D36:D41)</f>
        <v>-5459</v>
      </c>
    </row>
    <row r="44" ht="12.75">
      <c r="A44" s="67" t="s">
        <v>72</v>
      </c>
    </row>
    <row r="45" spans="1:4" ht="12.75">
      <c r="A45" s="68" t="s">
        <v>73</v>
      </c>
      <c r="B45" s="74">
        <f>10595309+612835</f>
        <v>11208144</v>
      </c>
      <c r="D45" s="74">
        <v>0</v>
      </c>
    </row>
    <row r="46" spans="1:4" ht="12.75">
      <c r="A46" s="68" t="s">
        <v>158</v>
      </c>
      <c r="B46" s="74">
        <v>2047713</v>
      </c>
      <c r="D46" s="74">
        <v>0</v>
      </c>
    </row>
    <row r="47" spans="1:2" ht="12.75">
      <c r="A47" s="68" t="s">
        <v>159</v>
      </c>
      <c r="B47" s="74">
        <v>18291708</v>
      </c>
    </row>
    <row r="48" spans="1:2" ht="12.75">
      <c r="A48" s="68" t="s">
        <v>160</v>
      </c>
      <c r="B48" s="74">
        <v>18682345</v>
      </c>
    </row>
    <row r="49" spans="1:2" ht="12.75">
      <c r="A49" s="68" t="s">
        <v>161</v>
      </c>
      <c r="B49" s="74">
        <v>42388006</v>
      </c>
    </row>
    <row r="50" spans="1:4" ht="12.75">
      <c r="A50" s="68" t="s">
        <v>162</v>
      </c>
      <c r="B50" s="74">
        <v>1932440</v>
      </c>
      <c r="D50" s="74">
        <v>0</v>
      </c>
    </row>
    <row r="51" spans="2:4" ht="13.5" thickBot="1">
      <c r="B51" s="95">
        <f>SUM(B42:B50)</f>
        <v>158536787</v>
      </c>
      <c r="D51" s="95">
        <f>SUM(D42:D50)</f>
        <v>-5459</v>
      </c>
    </row>
    <row r="52" spans="2:4" ht="13.5" thickTop="1">
      <c r="B52" s="74">
        <f>B33-B51</f>
        <v>0</v>
      </c>
      <c r="D52" s="74">
        <f>D33-D51</f>
        <v>0</v>
      </c>
    </row>
    <row r="56" ht="12.75">
      <c r="A56" s="92" t="s">
        <v>74</v>
      </c>
    </row>
    <row r="58" ht="12.75">
      <c r="A58" s="68" t="s">
        <v>75</v>
      </c>
    </row>
    <row r="59" ht="12.75">
      <c r="A59" s="68" t="s">
        <v>76</v>
      </c>
    </row>
  </sheetData>
  <printOptions/>
  <pageMargins left="0.68" right="0.39" top="0.73" bottom="0.49" header="0.5" footer="0.39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workbookViewId="0" topLeftCell="A4">
      <selection activeCell="C8" sqref="C8"/>
    </sheetView>
  </sheetViews>
  <sheetFormatPr defaultColWidth="9.140625" defaultRowHeight="12.75"/>
  <cols>
    <col min="1" max="1" width="3.28125" style="68" customWidth="1"/>
    <col min="2" max="2" width="3.57421875" style="68" customWidth="1"/>
    <col min="3" max="3" width="67.7109375" style="68" customWidth="1"/>
    <col min="4" max="4" width="17.140625" style="74" customWidth="1"/>
    <col min="5" max="5" width="1.57421875" style="74" customWidth="1"/>
    <col min="6" max="6" width="2.7109375" style="68" bestFit="1" customWidth="1"/>
    <col min="7" max="16384" width="9.140625" style="68" customWidth="1"/>
  </cols>
  <sheetData>
    <row r="1" spans="1:3" ht="12.75">
      <c r="A1" s="67" t="str">
        <f>Summary!A1</f>
        <v>MITHRIL BERHAD</v>
      </c>
      <c r="B1" s="67"/>
      <c r="C1" s="67"/>
    </row>
    <row r="2" spans="1:3" ht="12.75">
      <c r="A2" s="37" t="s">
        <v>1</v>
      </c>
      <c r="B2" s="67"/>
      <c r="C2" s="67"/>
    </row>
    <row r="3" ht="7.5" customHeight="1"/>
    <row r="4" spans="1:3" ht="12.75">
      <c r="A4" s="67" t="s">
        <v>77</v>
      </c>
      <c r="B4" s="67"/>
      <c r="C4" s="67"/>
    </row>
    <row r="5" spans="1:3" ht="12.75">
      <c r="A5" s="67" t="s">
        <v>150</v>
      </c>
      <c r="B5" s="67"/>
      <c r="C5" s="67"/>
    </row>
    <row r="6" ht="12.75">
      <c r="D6" s="74" t="s">
        <v>151</v>
      </c>
    </row>
    <row r="7" ht="12.75">
      <c r="D7" s="74" t="str">
        <f>Consol_BS!B8</f>
        <v>30th June 2004</v>
      </c>
    </row>
    <row r="8" ht="15">
      <c r="D8" s="108" t="s">
        <v>35</v>
      </c>
    </row>
    <row r="9" spans="1:3" ht="12.75">
      <c r="A9" s="67" t="s">
        <v>78</v>
      </c>
      <c r="B9" s="67"/>
      <c r="C9" s="67"/>
    </row>
    <row r="10" ht="6.75" customHeight="1"/>
    <row r="11" spans="2:5" s="82" customFormat="1" ht="12.75">
      <c r="B11" s="82" t="s">
        <v>79</v>
      </c>
      <c r="D11" s="75">
        <f>Consol_PL!D30+Consol_PL!D37</f>
        <v>-174241861</v>
      </c>
      <c r="E11" s="75"/>
    </row>
    <row r="12" spans="4:5" s="82" customFormat="1" ht="6.75" customHeight="1">
      <c r="D12" s="75"/>
      <c r="E12" s="75"/>
    </row>
    <row r="13" spans="2:5" s="82" customFormat="1" ht="12.75">
      <c r="B13" s="82" t="s">
        <v>80</v>
      </c>
      <c r="D13" s="75"/>
      <c r="E13" s="75"/>
    </row>
    <row r="14" spans="3:5" s="82" customFormat="1" ht="12.75">
      <c r="C14" s="82" t="s">
        <v>81</v>
      </c>
      <c r="D14" s="75">
        <f>1666892-308631</f>
        <v>1358261</v>
      </c>
      <c r="E14" s="75"/>
    </row>
    <row r="15" spans="3:5" s="82" customFormat="1" ht="12.75">
      <c r="C15" s="82" t="s">
        <v>82</v>
      </c>
      <c r="D15" s="75">
        <f>1088594+1516224-2</f>
        <v>2604816</v>
      </c>
      <c r="E15" s="75"/>
    </row>
    <row r="16" spans="3:6" s="82" customFormat="1" ht="12.75">
      <c r="C16" s="82" t="s">
        <v>83</v>
      </c>
      <c r="D16" s="75">
        <f>-106028</f>
        <v>-106028</v>
      </c>
      <c r="E16" s="75"/>
      <c r="F16" s="82">
        <f>D15+D16+Consol_PL!D25</f>
        <v>0</v>
      </c>
    </row>
    <row r="17" spans="3:5" s="82" customFormat="1" ht="12.75">
      <c r="C17" s="82" t="s">
        <v>84</v>
      </c>
      <c r="D17" s="75">
        <v>-38737233</v>
      </c>
      <c r="E17" s="75"/>
    </row>
    <row r="18" spans="3:5" s="82" customFormat="1" ht="12.75">
      <c r="C18" s="82" t="s">
        <v>172</v>
      </c>
      <c r="D18" s="75">
        <v>-2850</v>
      </c>
      <c r="E18" s="75"/>
    </row>
    <row r="19" spans="3:5" s="82" customFormat="1" ht="12.75">
      <c r="C19" s="82" t="s">
        <v>181</v>
      </c>
      <c r="D19" s="75">
        <v>-176000</v>
      </c>
      <c r="E19" s="75"/>
    </row>
    <row r="20" spans="3:5" s="82" customFormat="1" ht="12.75">
      <c r="C20" s="82" t="s">
        <v>182</v>
      </c>
      <c r="D20" s="75">
        <v>-38086</v>
      </c>
      <c r="E20" s="75"/>
    </row>
    <row r="21" spans="3:5" s="82" customFormat="1" ht="12.75">
      <c r="C21" s="82" t="s">
        <v>85</v>
      </c>
      <c r="D21" s="89">
        <f>212313646</f>
        <v>212313646</v>
      </c>
      <c r="E21" s="75"/>
    </row>
    <row r="22" spans="4:5" s="82" customFormat="1" ht="7.5" customHeight="1">
      <c r="D22" s="75"/>
      <c r="E22" s="75"/>
    </row>
    <row r="23" spans="2:5" s="82" customFormat="1" ht="12.75">
      <c r="B23" s="82" t="s">
        <v>86</v>
      </c>
      <c r="D23" s="75">
        <f>SUM(D11:D21)</f>
        <v>2974665</v>
      </c>
      <c r="E23" s="75"/>
    </row>
    <row r="24" spans="4:5" s="82" customFormat="1" ht="7.5" customHeight="1">
      <c r="D24" s="75"/>
      <c r="E24" s="75"/>
    </row>
    <row r="25" spans="2:5" s="82" customFormat="1" ht="12.75">
      <c r="B25" s="82" t="s">
        <v>87</v>
      </c>
      <c r="D25" s="75"/>
      <c r="E25" s="75"/>
    </row>
    <row r="26" spans="3:5" s="82" customFormat="1" ht="12.75">
      <c r="C26" s="82" t="s">
        <v>88</v>
      </c>
      <c r="D26" s="75">
        <v>-1090969</v>
      </c>
      <c r="E26" s="75"/>
    </row>
    <row r="27" spans="3:5" s="82" customFormat="1" ht="12.75">
      <c r="C27" s="82" t="s">
        <v>188</v>
      </c>
      <c r="D27" s="75">
        <v>678964</v>
      </c>
      <c r="E27" s="75"/>
    </row>
    <row r="28" spans="3:5" s="82" customFormat="1" ht="12.75">
      <c r="C28" s="82" t="s">
        <v>189</v>
      </c>
      <c r="D28" s="75">
        <f>-3364666+3</f>
        <v>-3364663</v>
      </c>
      <c r="E28" s="75"/>
    </row>
    <row r="29" spans="3:5" s="82" customFormat="1" ht="12.75">
      <c r="C29" s="82" t="s">
        <v>89</v>
      </c>
      <c r="D29" s="96">
        <f>SUM(D23:D28)</f>
        <v>-802003</v>
      </c>
      <c r="E29" s="75"/>
    </row>
    <row r="30" spans="4:5" s="82" customFormat="1" ht="6.75" customHeight="1">
      <c r="D30" s="75"/>
      <c r="E30" s="75"/>
    </row>
    <row r="31" spans="3:5" s="82" customFormat="1" ht="12.75">
      <c r="C31" s="82" t="s">
        <v>90</v>
      </c>
      <c r="D31" s="75">
        <v>-381649</v>
      </c>
      <c r="E31" s="75"/>
    </row>
    <row r="32" spans="4:5" s="82" customFormat="1" ht="7.5" customHeight="1">
      <c r="D32" s="75"/>
      <c r="E32" s="75"/>
    </row>
    <row r="33" spans="2:5" s="82" customFormat="1" ht="12.75">
      <c r="B33" s="82" t="s">
        <v>192</v>
      </c>
      <c r="D33" s="94">
        <f>SUM(D29:D32)</f>
        <v>-1183652</v>
      </c>
      <c r="E33" s="75"/>
    </row>
    <row r="34" spans="1:5" s="82" customFormat="1" ht="7.5" customHeight="1">
      <c r="A34" s="97"/>
      <c r="B34" s="97"/>
      <c r="C34" s="97"/>
      <c r="D34" s="75"/>
      <c r="E34" s="75"/>
    </row>
    <row r="35" spans="1:5" s="82" customFormat="1" ht="12.75">
      <c r="A35" s="97" t="s">
        <v>91</v>
      </c>
      <c r="B35" s="97"/>
      <c r="C35" s="97"/>
      <c r="D35" s="75"/>
      <c r="E35" s="75"/>
    </row>
    <row r="36" spans="1:5" s="82" customFormat="1" ht="6.75" customHeight="1">
      <c r="A36" s="97"/>
      <c r="B36" s="97"/>
      <c r="C36" s="97"/>
      <c r="D36" s="75"/>
      <c r="E36" s="75"/>
    </row>
    <row r="37" spans="2:5" s="82" customFormat="1" ht="12.75">
      <c r="B37" s="82" t="s">
        <v>92</v>
      </c>
      <c r="D37" s="75">
        <f>-868352</f>
        <v>-868352</v>
      </c>
      <c r="E37" s="75"/>
    </row>
    <row r="38" spans="2:5" s="82" customFormat="1" ht="12.75">
      <c r="B38" s="82" t="s">
        <v>183</v>
      </c>
      <c r="D38" s="75">
        <f>-86944000</f>
        <v>-86944000</v>
      </c>
      <c r="E38" s="75"/>
    </row>
    <row r="39" spans="2:5" s="82" customFormat="1" ht="12.75">
      <c r="B39" s="82" t="s">
        <v>93</v>
      </c>
      <c r="D39" s="75">
        <f>-D16</f>
        <v>106028</v>
      </c>
      <c r="E39" s="75"/>
    </row>
    <row r="40" spans="2:5" s="82" customFormat="1" ht="12.75">
      <c r="B40" s="82" t="s">
        <v>191</v>
      </c>
      <c r="D40" s="75">
        <v>-8088878</v>
      </c>
      <c r="E40" s="75"/>
    </row>
    <row r="41" spans="2:5" s="82" customFormat="1" ht="12.75">
      <c r="B41" s="82" t="s">
        <v>193</v>
      </c>
      <c r="D41" s="75">
        <f>-47736404</f>
        <v>-47736404</v>
      </c>
      <c r="E41" s="75"/>
    </row>
    <row r="42" spans="2:5" s="82" customFormat="1" ht="12.75" hidden="1">
      <c r="B42" s="82" t="s">
        <v>94</v>
      </c>
      <c r="D42" s="75">
        <v>0</v>
      </c>
      <c r="E42" s="75"/>
    </row>
    <row r="43" spans="2:5" s="82" customFormat="1" ht="7.5" customHeight="1">
      <c r="B43" s="98" t="s">
        <v>95</v>
      </c>
      <c r="C43" s="98"/>
      <c r="D43" s="75"/>
      <c r="E43" s="75"/>
    </row>
    <row r="44" spans="2:5" s="82" customFormat="1" ht="12.75">
      <c r="B44" s="82" t="s">
        <v>96</v>
      </c>
      <c r="D44" s="94">
        <f>SUM(D37:D43)</f>
        <v>-143531606</v>
      </c>
      <c r="E44" s="75"/>
    </row>
    <row r="45" spans="4:5" s="82" customFormat="1" ht="6.75" customHeight="1">
      <c r="D45" s="75"/>
      <c r="E45" s="75"/>
    </row>
    <row r="46" spans="1:5" s="82" customFormat="1" ht="12.75">
      <c r="A46" s="97" t="s">
        <v>97</v>
      </c>
      <c r="B46" s="97"/>
      <c r="C46" s="97"/>
      <c r="D46" s="75"/>
      <c r="E46" s="75"/>
    </row>
    <row r="47" spans="4:5" s="82" customFormat="1" ht="7.5" customHeight="1">
      <c r="D47" s="75"/>
      <c r="E47" s="75"/>
    </row>
    <row r="48" spans="2:5" s="82" customFormat="1" ht="12.75">
      <c r="B48" s="82" t="s">
        <v>173</v>
      </c>
      <c r="D48" s="75">
        <v>134206756</v>
      </c>
      <c r="E48" s="75"/>
    </row>
    <row r="49" spans="2:5" s="82" customFormat="1" ht="12.75">
      <c r="B49" s="82" t="s">
        <v>174</v>
      </c>
      <c r="D49" s="75">
        <v>150200000</v>
      </c>
      <c r="E49" s="75"/>
    </row>
    <row r="50" spans="2:5" s="82" customFormat="1" ht="12.75">
      <c r="B50" s="82" t="s">
        <v>175</v>
      </c>
      <c r="D50" s="75">
        <v>44709067</v>
      </c>
      <c r="E50" s="75"/>
    </row>
    <row r="51" spans="2:5" s="82" customFormat="1" ht="12.75">
      <c r="B51" s="82" t="s">
        <v>176</v>
      </c>
      <c r="D51" s="75">
        <v>281000</v>
      </c>
      <c r="E51" s="75"/>
    </row>
    <row r="52" spans="2:5" s="82" customFormat="1" ht="12.75">
      <c r="B52" s="82" t="s">
        <v>190</v>
      </c>
      <c r="D52" s="75">
        <v>-175581551</v>
      </c>
      <c r="E52" s="75"/>
    </row>
    <row r="53" spans="2:5" s="82" customFormat="1" ht="12.75">
      <c r="B53" s="82" t="s">
        <v>177</v>
      </c>
      <c r="D53" s="75">
        <v>-2001500</v>
      </c>
      <c r="E53" s="75"/>
    </row>
    <row r="54" spans="2:5" s="82" customFormat="1" ht="12.75">
      <c r="B54" s="82" t="s">
        <v>178</v>
      </c>
      <c r="D54" s="75">
        <v>-29496</v>
      </c>
      <c r="E54" s="75"/>
    </row>
    <row r="55" spans="2:5" s="82" customFormat="1" ht="12.75">
      <c r="B55" s="82" t="s">
        <v>179</v>
      </c>
      <c r="D55" s="75">
        <v>-84517</v>
      </c>
      <c r="E55" s="75"/>
    </row>
    <row r="56" spans="4:5" s="82" customFormat="1" ht="7.5" customHeight="1">
      <c r="D56" s="75"/>
      <c r="E56" s="75"/>
    </row>
    <row r="57" spans="2:5" s="82" customFormat="1" ht="12.75">
      <c r="B57" s="82" t="s">
        <v>98</v>
      </c>
      <c r="D57" s="94">
        <f>SUM(D48:D56)</f>
        <v>151699759</v>
      </c>
      <c r="E57" s="75"/>
    </row>
    <row r="58" spans="4:5" s="82" customFormat="1" ht="7.5" customHeight="1">
      <c r="D58" s="75"/>
      <c r="E58" s="75"/>
    </row>
    <row r="59" spans="1:5" s="82" customFormat="1" ht="12.75">
      <c r="A59" s="97" t="s">
        <v>99</v>
      </c>
      <c r="B59" s="97"/>
      <c r="C59" s="97"/>
      <c r="D59" s="109">
        <f>D33+D44+D57</f>
        <v>6984501</v>
      </c>
      <c r="E59" s="75"/>
    </row>
    <row r="60" spans="1:5" s="82" customFormat="1" ht="12.75">
      <c r="A60" s="97" t="s">
        <v>100</v>
      </c>
      <c r="B60" s="97"/>
      <c r="C60" s="97"/>
      <c r="D60" s="109">
        <v>2</v>
      </c>
      <c r="E60" s="75"/>
    </row>
    <row r="61" spans="1:5" s="82" customFormat="1" ht="13.5" thickBot="1">
      <c r="A61" s="97" t="s">
        <v>101</v>
      </c>
      <c r="B61" s="97"/>
      <c r="C61" s="97"/>
      <c r="D61" s="110">
        <f>SUM(D59:D60)</f>
        <v>6984503</v>
      </c>
      <c r="E61" s="75"/>
    </row>
    <row r="62" spans="1:5" s="82" customFormat="1" ht="13.5" thickTop="1">
      <c r="A62" s="97"/>
      <c r="B62" s="97"/>
      <c r="C62" s="97"/>
      <c r="D62" s="75"/>
      <c r="E62" s="75"/>
    </row>
    <row r="63" spans="1:5" s="82" customFormat="1" ht="12.75" hidden="1">
      <c r="A63" s="99" t="s">
        <v>102</v>
      </c>
      <c r="B63" s="111"/>
      <c r="C63" s="111"/>
      <c r="D63" s="100"/>
      <c r="E63" s="75"/>
    </row>
    <row r="64" spans="1:5" s="82" customFormat="1" ht="12.75" hidden="1">
      <c r="A64" s="101" t="s">
        <v>103</v>
      </c>
      <c r="B64" s="112"/>
      <c r="C64" s="112"/>
      <c r="D64" s="102" t="e">
        <f>#REF!</f>
        <v>#REF!</v>
      </c>
      <c r="E64" s="75"/>
    </row>
    <row r="65" spans="1:5" s="82" customFormat="1" ht="12.75" hidden="1">
      <c r="A65" s="103" t="s">
        <v>104</v>
      </c>
      <c r="B65" s="113"/>
      <c r="C65" s="113"/>
      <c r="D65" s="102" t="e">
        <f>#REF!</f>
        <v>#REF!</v>
      </c>
      <c r="E65" s="75"/>
    </row>
    <row r="66" spans="1:5" s="82" customFormat="1" ht="12.75" hidden="1">
      <c r="A66" s="103" t="s">
        <v>105</v>
      </c>
      <c r="B66" s="113"/>
      <c r="C66" s="113"/>
      <c r="D66" s="102" t="e">
        <f>#REF!</f>
        <v>#REF!</v>
      </c>
      <c r="E66" s="75"/>
    </row>
    <row r="67" spans="1:5" s="82" customFormat="1" ht="13.5" hidden="1" thickBot="1">
      <c r="A67" s="104"/>
      <c r="B67" s="114"/>
      <c r="C67" s="114"/>
      <c r="D67" s="105" t="e">
        <f>SUM(D64:D66)</f>
        <v>#REF!</v>
      </c>
      <c r="E67" s="75"/>
    </row>
    <row r="68" spans="1:5" s="82" customFormat="1" ht="12.75" hidden="1">
      <c r="A68" s="106"/>
      <c r="B68" s="115"/>
      <c r="C68" s="115"/>
      <c r="D68" s="107" t="e">
        <f>D61-D67</f>
        <v>#REF!</v>
      </c>
      <c r="E68" s="75"/>
    </row>
    <row r="69" spans="1:5" s="82" customFormat="1" ht="12.75">
      <c r="A69" s="82" t="s">
        <v>106</v>
      </c>
      <c r="D69" s="75"/>
      <c r="E69" s="75"/>
    </row>
    <row r="70" spans="2:5" s="82" customFormat="1" ht="12.75">
      <c r="B70" s="82" t="s">
        <v>107</v>
      </c>
      <c r="D70" s="75">
        <f>Consol_BS!B22</f>
        <v>7851823</v>
      </c>
      <c r="E70" s="75"/>
    </row>
    <row r="71" spans="2:4" ht="12.75">
      <c r="B71" s="68" t="s">
        <v>108</v>
      </c>
      <c r="D71" s="74">
        <v>-867320</v>
      </c>
    </row>
    <row r="72" ht="13.5" thickBot="1">
      <c r="D72" s="95">
        <f>SUM(D70:D71)</f>
        <v>6984503</v>
      </c>
    </row>
    <row r="73" ht="13.5" thickTop="1">
      <c r="D73" s="74">
        <f>D61-D72</f>
        <v>0</v>
      </c>
    </row>
    <row r="74" ht="12.75">
      <c r="A74" s="92" t="s">
        <v>74</v>
      </c>
    </row>
    <row r="75" ht="12.75">
      <c r="A75" s="68" t="s">
        <v>147</v>
      </c>
    </row>
    <row r="76" spans="1:2" ht="12.75">
      <c r="A76" s="68" t="s">
        <v>109</v>
      </c>
      <c r="B76" s="68" t="s">
        <v>110</v>
      </c>
    </row>
  </sheetData>
  <printOptions horizontalCentered="1"/>
  <pageMargins left="0.44" right="0.34" top="0.53" bottom="0.53" header="0.44" footer="0.2"/>
  <pageSetup fitToHeight="1" fitToWidth="1"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workbookViewId="0" topLeftCell="A1">
      <selection activeCell="A55" sqref="A55"/>
    </sheetView>
  </sheetViews>
  <sheetFormatPr defaultColWidth="9.140625" defaultRowHeight="12.75"/>
  <cols>
    <col min="8" max="8" width="10.8515625" style="0" bestFit="1" customWidth="1"/>
  </cols>
  <sheetData>
    <row r="1" ht="12.75">
      <c r="A1" s="67" t="str">
        <f>Summary!A1</f>
        <v>MITHRIL BERHAD</v>
      </c>
    </row>
    <row r="2" ht="12.75">
      <c r="A2" s="37" t="s">
        <v>1</v>
      </c>
    </row>
    <row r="3" ht="6.75" customHeight="1"/>
    <row r="4" ht="12.75">
      <c r="A4" s="122" t="s">
        <v>194</v>
      </c>
    </row>
    <row r="6" ht="12.75">
      <c r="A6" t="s">
        <v>195</v>
      </c>
    </row>
    <row r="7" ht="12.75">
      <c r="A7" t="s">
        <v>196</v>
      </c>
    </row>
    <row r="8" ht="12.75">
      <c r="A8" s="123" t="s">
        <v>197</v>
      </c>
    </row>
    <row r="9" ht="12.75">
      <c r="A9" s="124" t="s">
        <v>198</v>
      </c>
    </row>
    <row r="11" ht="12.75">
      <c r="A11" t="s">
        <v>199</v>
      </c>
    </row>
    <row r="12" ht="12.75">
      <c r="A12" t="s">
        <v>200</v>
      </c>
    </row>
    <row r="13" ht="12.75">
      <c r="A13" t="s">
        <v>201</v>
      </c>
    </row>
    <row r="15" ht="12.75">
      <c r="A15" t="s">
        <v>202</v>
      </c>
    </row>
    <row r="16" ht="12.75">
      <c r="H16" s="125" t="s">
        <v>12</v>
      </c>
    </row>
    <row r="17" spans="1:8" ht="12.75">
      <c r="A17" t="s">
        <v>14</v>
      </c>
      <c r="H17" s="126">
        <v>13084</v>
      </c>
    </row>
    <row r="18" spans="1:8" ht="12.75">
      <c r="A18" t="s">
        <v>203</v>
      </c>
      <c r="H18" s="126">
        <v>39563</v>
      </c>
    </row>
    <row r="19" spans="1:8" ht="13.5" thickBot="1">
      <c r="A19" t="s">
        <v>204</v>
      </c>
      <c r="H19" s="127">
        <v>38061</v>
      </c>
    </row>
    <row r="21" ht="12.75">
      <c r="A21" t="s">
        <v>205</v>
      </c>
    </row>
    <row r="22" ht="12.75">
      <c r="A22" t="s">
        <v>206</v>
      </c>
    </row>
    <row r="23" ht="12.75">
      <c r="H23" s="125" t="s">
        <v>12</v>
      </c>
    </row>
    <row r="24" spans="1:8" ht="12.75">
      <c r="A24" s="123" t="s">
        <v>207</v>
      </c>
      <c r="H24" s="126">
        <v>53208</v>
      </c>
    </row>
    <row r="25" spans="1:8" ht="12.75">
      <c r="A25" s="123" t="s">
        <v>58</v>
      </c>
      <c r="H25" s="126">
        <v>7</v>
      </c>
    </row>
    <row r="26" spans="1:8" ht="12.75">
      <c r="A26" s="123" t="s">
        <v>60</v>
      </c>
      <c r="H26" s="126">
        <v>15726</v>
      </c>
    </row>
    <row r="27" spans="1:8" ht="12.75">
      <c r="A27" s="123" t="s">
        <v>208</v>
      </c>
      <c r="H27" s="126">
        <v>6110</v>
      </c>
    </row>
    <row r="28" spans="1:8" ht="12.75">
      <c r="A28" s="123" t="s">
        <v>209</v>
      </c>
      <c r="H28" s="126">
        <v>2876</v>
      </c>
    </row>
    <row r="29" spans="1:8" ht="12.75">
      <c r="A29" s="123" t="s">
        <v>210</v>
      </c>
      <c r="H29" s="126">
        <v>1266</v>
      </c>
    </row>
    <row r="30" spans="1:8" ht="12.75">
      <c r="A30" s="123" t="s">
        <v>211</v>
      </c>
      <c r="H30" s="126">
        <v>-7608</v>
      </c>
    </row>
    <row r="31" spans="1:8" ht="12.75">
      <c r="A31" s="123" t="s">
        <v>212</v>
      </c>
      <c r="H31" s="126">
        <v>-10752</v>
      </c>
    </row>
    <row r="32" spans="1:8" ht="12.75">
      <c r="A32" s="123" t="s">
        <v>73</v>
      </c>
      <c r="H32" s="126">
        <v>-24551</v>
      </c>
    </row>
    <row r="33" spans="1:8" ht="12.75">
      <c r="A33" s="123" t="s">
        <v>66</v>
      </c>
      <c r="H33" s="126">
        <v>-3980</v>
      </c>
    </row>
    <row r="34" spans="1:8" ht="12.75">
      <c r="A34" s="123" t="s">
        <v>162</v>
      </c>
      <c r="H34" s="128">
        <v>-662</v>
      </c>
    </row>
    <row r="35" ht="12.75">
      <c r="H35" s="129">
        <f>SUM(H24:H34)</f>
        <v>31640</v>
      </c>
    </row>
    <row r="37" ht="12.75">
      <c r="A37" t="s">
        <v>213</v>
      </c>
    </row>
    <row r="38" ht="12.75">
      <c r="A38" t="s">
        <v>214</v>
      </c>
    </row>
    <row r="39" ht="12.75">
      <c r="H39" s="125" t="s">
        <v>12</v>
      </c>
    </row>
    <row r="40" spans="1:8" ht="12.75">
      <c r="A40" s="123" t="s">
        <v>207</v>
      </c>
      <c r="H40" s="126">
        <v>53698</v>
      </c>
    </row>
    <row r="41" spans="1:8" ht="12.75">
      <c r="A41" s="123" t="s">
        <v>58</v>
      </c>
      <c r="H41" s="126">
        <v>7</v>
      </c>
    </row>
    <row r="42" spans="1:8" ht="12.75">
      <c r="A42" s="123" t="s">
        <v>60</v>
      </c>
      <c r="H42" s="126">
        <v>14635</v>
      </c>
    </row>
    <row r="43" spans="1:8" ht="12.75">
      <c r="A43" s="123" t="s">
        <v>208</v>
      </c>
      <c r="H43" s="126">
        <v>6435</v>
      </c>
    </row>
    <row r="44" spans="1:8" ht="12.75">
      <c r="A44" s="123" t="s">
        <v>209</v>
      </c>
      <c r="H44" s="126">
        <v>3232</v>
      </c>
    </row>
    <row r="45" spans="1:8" ht="12.75">
      <c r="A45" s="123" t="s">
        <v>210</v>
      </c>
      <c r="H45" s="126">
        <v>264</v>
      </c>
    </row>
    <row r="46" spans="1:8" ht="12.75">
      <c r="A46" s="123" t="s">
        <v>211</v>
      </c>
      <c r="H46" s="126">
        <f>-8527</f>
        <v>-8527</v>
      </c>
    </row>
    <row r="47" spans="1:8" ht="12.75">
      <c r="A47" s="123" t="s">
        <v>212</v>
      </c>
      <c r="H47" s="126">
        <v>-16371</v>
      </c>
    </row>
    <row r="48" spans="1:8" ht="12.75">
      <c r="A48" s="123" t="s">
        <v>73</v>
      </c>
      <c r="H48" s="126">
        <v>-238597</v>
      </c>
    </row>
    <row r="49" spans="1:8" ht="12.75">
      <c r="A49" s="123" t="s">
        <v>66</v>
      </c>
      <c r="H49" s="126">
        <v>-3946</v>
      </c>
    </row>
    <row r="50" spans="1:8" ht="12.75">
      <c r="A50" s="123" t="s">
        <v>162</v>
      </c>
      <c r="H50" s="128">
        <v>-662</v>
      </c>
    </row>
    <row r="51" spans="1:8" ht="12.75">
      <c r="A51" s="123" t="s">
        <v>215</v>
      </c>
      <c r="H51" s="126">
        <f>SUM(H40:H50)</f>
        <v>-189832</v>
      </c>
    </row>
    <row r="52" spans="1:8" ht="12.75">
      <c r="A52" s="123" t="s">
        <v>216</v>
      </c>
      <c r="H52" s="126">
        <v>238227</v>
      </c>
    </row>
    <row r="53" spans="1:8" ht="12.75">
      <c r="A53" s="123" t="s">
        <v>217</v>
      </c>
      <c r="H53" s="129">
        <f>SUM(H51:H52)</f>
        <v>48395</v>
      </c>
    </row>
    <row r="54" ht="12.75">
      <c r="H54" s="126"/>
    </row>
    <row r="55" spans="1:8" ht="12.75">
      <c r="A55" s="130" t="s">
        <v>218</v>
      </c>
      <c r="H55" s="126"/>
    </row>
    <row r="56" spans="1:8" ht="12.75">
      <c r="A56" t="s">
        <v>219</v>
      </c>
      <c r="H56" s="126">
        <v>17500</v>
      </c>
    </row>
    <row r="57" spans="1:8" ht="12.75">
      <c r="A57" t="s">
        <v>220</v>
      </c>
      <c r="H57" s="126">
        <v>395</v>
      </c>
    </row>
    <row r="58" spans="1:8" ht="12.75">
      <c r="A58" t="s">
        <v>221</v>
      </c>
      <c r="H58" s="126">
        <v>30500</v>
      </c>
    </row>
    <row r="59" ht="12.75">
      <c r="H59" s="129">
        <f>SUM(H56:H58)</f>
        <v>48395</v>
      </c>
    </row>
    <row r="60" ht="12.75">
      <c r="H60" s="126"/>
    </row>
    <row r="61" spans="1:8" ht="12.75">
      <c r="A61" t="s">
        <v>222</v>
      </c>
      <c r="H61" s="126"/>
    </row>
    <row r="62" spans="1:8" ht="12.75">
      <c r="A62" t="s">
        <v>223</v>
      </c>
      <c r="H62" s="126">
        <f>H56</f>
        <v>17500</v>
      </c>
    </row>
    <row r="63" spans="1:8" ht="12.75">
      <c r="A63" t="s">
        <v>221</v>
      </c>
      <c r="H63" s="126">
        <f>H58</f>
        <v>30500</v>
      </c>
    </row>
    <row r="64" spans="1:8" ht="12.75">
      <c r="A64" t="s">
        <v>224</v>
      </c>
      <c r="H64" s="126">
        <f>-H45</f>
        <v>-264</v>
      </c>
    </row>
    <row r="65" ht="12.75">
      <c r="H65" s="129">
        <f>SUM(H62:H64)</f>
        <v>47736</v>
      </c>
    </row>
    <row r="66" ht="12.75">
      <c r="H66" s="126"/>
    </row>
  </sheetData>
  <printOptions/>
  <pageMargins left="1.03" right="0.75" top="0.55" bottom="0.37" header="0.5" footer="0.3"/>
  <pageSetup fitToHeight="1" fitToWidth="1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3">
      <selection activeCell="E28" sqref="E28"/>
    </sheetView>
  </sheetViews>
  <sheetFormatPr defaultColWidth="9.140625" defaultRowHeight="12.75"/>
  <cols>
    <col min="1" max="1" width="28.00390625" style="2" customWidth="1"/>
    <col min="2" max="4" width="11.57421875" style="2" customWidth="1"/>
    <col min="5" max="5" width="15.00390625" style="2" customWidth="1"/>
    <col min="6" max="6" width="13.421875" style="2" customWidth="1"/>
    <col min="7" max="7" width="13.28125" style="2" customWidth="1"/>
    <col min="8" max="16384" width="9.140625" style="2" customWidth="1"/>
  </cols>
  <sheetData>
    <row r="1" ht="12.75">
      <c r="A1" s="1" t="str">
        <f>Summary!A1</f>
        <v>MITHRIL BERHAD</v>
      </c>
    </row>
    <row r="2" ht="12.75">
      <c r="A2" s="37" t="s">
        <v>1</v>
      </c>
    </row>
    <row r="4" ht="12.75">
      <c r="A4" s="1" t="s">
        <v>111</v>
      </c>
    </row>
    <row r="5" ht="12.75">
      <c r="A5" s="1" t="str">
        <f>Consol_CF!A5</f>
        <v>FOR THE CUMULATIVE QUARTER ENDED 30TH JUNE 2004</v>
      </c>
    </row>
    <row r="7" ht="12.75">
      <c r="A7" s="15"/>
    </row>
    <row r="8" spans="2:6" ht="12.75">
      <c r="B8" s="17"/>
      <c r="C8" s="48" t="s">
        <v>112</v>
      </c>
      <c r="D8" s="49"/>
      <c r="E8" s="18" t="s">
        <v>113</v>
      </c>
      <c r="F8" s="19"/>
    </row>
    <row r="9" spans="2:6" ht="12.75">
      <c r="B9" s="20"/>
      <c r="C9" s="16"/>
      <c r="D9" s="6"/>
      <c r="E9" s="20"/>
      <c r="F9" s="21"/>
    </row>
    <row r="10" spans="1:6" s="3" customFormat="1" ht="12.75">
      <c r="A10" s="22" t="s">
        <v>114</v>
      </c>
      <c r="B10" s="20" t="s">
        <v>115</v>
      </c>
      <c r="C10" s="23" t="s">
        <v>115</v>
      </c>
      <c r="D10" s="24" t="s">
        <v>116</v>
      </c>
      <c r="E10" s="20" t="s">
        <v>117</v>
      </c>
      <c r="F10" s="13" t="s">
        <v>118</v>
      </c>
    </row>
    <row r="11" spans="1:6" s="3" customFormat="1" ht="12.75">
      <c r="A11" s="120" t="str">
        <f>Consol_CF!D7</f>
        <v>30th June 2004</v>
      </c>
      <c r="B11" s="25" t="s">
        <v>119</v>
      </c>
      <c r="C11" s="16" t="s">
        <v>120</v>
      </c>
      <c r="D11" s="25" t="s">
        <v>121</v>
      </c>
      <c r="E11" s="25" t="s">
        <v>122</v>
      </c>
      <c r="F11" s="6"/>
    </row>
    <row r="12" spans="2:6" ht="12.75">
      <c r="B12" s="20" t="s">
        <v>35</v>
      </c>
      <c r="C12" s="23" t="s">
        <v>35</v>
      </c>
      <c r="D12" s="20" t="s">
        <v>35</v>
      </c>
      <c r="E12" s="20" t="s">
        <v>35</v>
      </c>
      <c r="F12" s="21"/>
    </row>
    <row r="13" spans="2:6" ht="12.75">
      <c r="B13" s="20"/>
      <c r="C13" s="23"/>
      <c r="D13" s="20"/>
      <c r="E13" s="20"/>
      <c r="F13" s="21"/>
    </row>
    <row r="14" spans="1:6" ht="12.75">
      <c r="A14" s="2" t="s">
        <v>123</v>
      </c>
      <c r="B14" s="26">
        <f>Consol_BS!D36</f>
        <v>2</v>
      </c>
      <c r="C14" s="12">
        <v>0</v>
      </c>
      <c r="D14" s="26">
        <v>0</v>
      </c>
      <c r="E14" s="26">
        <f>Consol_BS!D41</f>
        <v>-5461</v>
      </c>
      <c r="F14" s="21">
        <f>SUM(B14:E14)</f>
        <v>-5459</v>
      </c>
    </row>
    <row r="15" spans="1:6" s="8" customFormat="1" ht="12.75">
      <c r="A15" s="8" t="s">
        <v>124</v>
      </c>
      <c r="B15" s="26"/>
      <c r="C15" s="12"/>
      <c r="D15" s="26"/>
      <c r="E15" s="26"/>
      <c r="F15" s="21"/>
    </row>
    <row r="16" spans="2:6" s="8" customFormat="1" ht="12.75">
      <c r="B16" s="26"/>
      <c r="C16" s="12"/>
      <c r="D16" s="26"/>
      <c r="E16" s="26"/>
      <c r="F16" s="21"/>
    </row>
    <row r="17" spans="1:6" s="8" customFormat="1" ht="12.75">
      <c r="A17" s="8" t="s">
        <v>125</v>
      </c>
      <c r="B17" s="26"/>
      <c r="C17" s="12"/>
      <c r="D17" s="26"/>
      <c r="E17" s="26"/>
      <c r="F17" s="21"/>
    </row>
    <row r="18" spans="1:6" s="8" customFormat="1" ht="12.75">
      <c r="A18" s="8" t="s">
        <v>126</v>
      </c>
      <c r="B18" s="26">
        <f>395400</f>
        <v>395400</v>
      </c>
      <c r="C18" s="12">
        <v>0</v>
      </c>
      <c r="D18" s="26">
        <v>0</v>
      </c>
      <c r="E18" s="26">
        <v>0</v>
      </c>
      <c r="F18" s="21">
        <f>SUM(B18:E18)</f>
        <v>395400</v>
      </c>
    </row>
    <row r="19" spans="1:6" s="8" customFormat="1" ht="12.75">
      <c r="A19" s="8" t="s">
        <v>127</v>
      </c>
      <c r="B19" s="26">
        <v>61365507</v>
      </c>
      <c r="C19" s="12">
        <f>(24163207)*2.36</f>
        <v>57025168.519999996</v>
      </c>
      <c r="D19" s="26">
        <v>0</v>
      </c>
      <c r="E19" s="26">
        <v>0</v>
      </c>
      <c r="F19" s="21">
        <f>SUM(B19:E19)</f>
        <v>118390675.52</v>
      </c>
    </row>
    <row r="20" spans="1:6" s="8" customFormat="1" ht="12.75">
      <c r="A20" s="8" t="s">
        <v>164</v>
      </c>
      <c r="B20" s="26">
        <v>15816080</v>
      </c>
      <c r="C20" s="12"/>
      <c r="D20" s="26"/>
      <c r="E20" s="26"/>
      <c r="F20" s="21">
        <f>SUM(B20:E20)</f>
        <v>15816080</v>
      </c>
    </row>
    <row r="21" spans="1:6" s="8" customFormat="1" ht="12.75">
      <c r="A21" s="8" t="s">
        <v>165</v>
      </c>
      <c r="B21" s="26">
        <v>5600000</v>
      </c>
      <c r="C21" s="12"/>
      <c r="D21" s="26"/>
      <c r="E21" s="26"/>
      <c r="F21" s="21">
        <f>SUM(B21:E21)</f>
        <v>5600000</v>
      </c>
    </row>
    <row r="22" spans="2:6" s="8" customFormat="1" ht="12.75">
      <c r="B22" s="26"/>
      <c r="C22" s="12"/>
      <c r="D22" s="26"/>
      <c r="E22" s="26"/>
      <c r="F22" s="21"/>
    </row>
    <row r="23" spans="1:6" s="8" customFormat="1" ht="12.75">
      <c r="A23" s="8" t="s">
        <v>128</v>
      </c>
      <c r="B23" s="26"/>
      <c r="C23" s="12">
        <f>13306270*2.36</f>
        <v>31402797.2</v>
      </c>
      <c r="D23" s="26">
        <f>Consol_BS!B37</f>
        <v>11181147</v>
      </c>
      <c r="E23" s="26">
        <v>0</v>
      </c>
      <c r="F23" s="21">
        <f>SUM(B23:E23)</f>
        <v>42583944.2</v>
      </c>
    </row>
    <row r="24" spans="1:6" s="8" customFormat="1" ht="12.75">
      <c r="A24" s="8" t="s">
        <v>129</v>
      </c>
      <c r="B24" s="26"/>
      <c r="C24" s="12"/>
      <c r="D24" s="26">
        <f>Consol_BS!B38</f>
        <v>4572452</v>
      </c>
      <c r="E24" s="26"/>
      <c r="F24" s="21">
        <f>SUM(B24:E24)</f>
        <v>4572452</v>
      </c>
    </row>
    <row r="25" spans="1:6" s="8" customFormat="1" ht="12.75">
      <c r="A25" s="8" t="s">
        <v>166</v>
      </c>
      <c r="B25" s="26"/>
      <c r="C25" s="26"/>
      <c r="D25" s="26">
        <f>Consol_BS!B39</f>
        <v>46740208</v>
      </c>
      <c r="E25" s="26"/>
      <c r="F25" s="21">
        <f>SUM(B25:E25)</f>
        <v>46740208</v>
      </c>
    </row>
    <row r="26" spans="1:6" s="8" customFormat="1" ht="12.75">
      <c r="A26" s="8" t="s">
        <v>167</v>
      </c>
      <c r="B26" s="26"/>
      <c r="C26" s="26"/>
      <c r="D26" s="26">
        <f>Consol_BS!B40</f>
        <v>12205861</v>
      </c>
      <c r="E26" s="26"/>
      <c r="F26" s="21">
        <f>SUM(B26:E26)</f>
        <v>12205861</v>
      </c>
    </row>
    <row r="27" spans="2:6" s="8" customFormat="1" ht="12.75">
      <c r="B27" s="26"/>
      <c r="C27" s="26"/>
      <c r="D27" s="21"/>
      <c r="E27" s="26"/>
      <c r="F27" s="21"/>
    </row>
    <row r="28" spans="1:6" s="8" customFormat="1" ht="12.75">
      <c r="A28" s="8" t="s">
        <v>130</v>
      </c>
      <c r="B28" s="26">
        <v>0</v>
      </c>
      <c r="C28" s="12">
        <f>-8088878</f>
        <v>-8088878</v>
      </c>
      <c r="D28" s="26">
        <v>0</v>
      </c>
      <c r="E28" s="26">
        <f>Consol_PL!D40</f>
        <v>-174223853</v>
      </c>
      <c r="F28" s="21">
        <f>SUM(B28:E28)</f>
        <v>-182312731</v>
      </c>
    </row>
    <row r="29" spans="1:6" s="8" customFormat="1" ht="12.75">
      <c r="A29" s="8" t="s">
        <v>131</v>
      </c>
      <c r="B29" s="26"/>
      <c r="C29" s="12"/>
      <c r="D29" s="26"/>
      <c r="E29" s="26"/>
      <c r="F29" s="21"/>
    </row>
    <row r="30" spans="2:6" s="8" customFormat="1" ht="12.75">
      <c r="B30" s="27"/>
      <c r="C30" s="14"/>
      <c r="D30" s="27"/>
      <c r="E30" s="27"/>
      <c r="F30" s="28"/>
    </row>
    <row r="31" spans="1:6" s="8" customFormat="1" ht="12.75">
      <c r="A31" s="8" t="s">
        <v>132</v>
      </c>
      <c r="B31" s="29"/>
      <c r="C31" s="11"/>
      <c r="D31" s="29"/>
      <c r="E31" s="29"/>
      <c r="F31" s="19"/>
    </row>
    <row r="32" spans="1:6" s="8" customFormat="1" ht="13.5" thickBot="1">
      <c r="A32" s="8" t="s">
        <v>152</v>
      </c>
      <c r="B32" s="30">
        <f>SUM(B14:B30)</f>
        <v>83176989</v>
      </c>
      <c r="C32" s="30">
        <f>SUM(C14:C30)</f>
        <v>80339087.72</v>
      </c>
      <c r="D32" s="30">
        <f>SUM(D14:D30)</f>
        <v>74699668</v>
      </c>
      <c r="E32" s="30">
        <f>SUM(E14:E30)</f>
        <v>-174229314</v>
      </c>
      <c r="F32" s="30">
        <f>SUM(F14:F30)</f>
        <v>63986430.71999997</v>
      </c>
    </row>
    <row r="33" spans="2:6" s="8" customFormat="1" ht="13.5" thickTop="1">
      <c r="B33" s="27">
        <f>B32-Consol_BS!B36</f>
        <v>0</v>
      </c>
      <c r="C33" s="14"/>
      <c r="D33" s="27"/>
      <c r="E33" s="27"/>
      <c r="F33" s="121">
        <f>F32-Consol_BS!B42</f>
        <v>-0.2800000309944153</v>
      </c>
    </row>
    <row r="34" s="8" customFormat="1" ht="12.75"/>
    <row r="35" s="8" customFormat="1" ht="12.75"/>
    <row r="36" s="8" customFormat="1" ht="12.75"/>
    <row r="37" s="8" customFormat="1" ht="12.75"/>
    <row r="38" s="8" customFormat="1" ht="12.75"/>
    <row r="39" s="8" customFormat="1" ht="12.75"/>
    <row r="40" s="8" customFormat="1" ht="12.75"/>
    <row r="41" s="8" customFormat="1" ht="12.75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4" spans="1:2" ht="12.75">
      <c r="A54" s="92" t="s">
        <v>74</v>
      </c>
      <c r="B54" s="68"/>
    </row>
    <row r="55" spans="1:2" ht="12.75">
      <c r="A55" s="68"/>
      <c r="B55" s="68"/>
    </row>
    <row r="56" spans="1:2" ht="12.75">
      <c r="A56" s="68" t="s">
        <v>169</v>
      </c>
      <c r="B56" s="68"/>
    </row>
    <row r="57" spans="1:2" ht="12.75">
      <c r="A57" s="68" t="s">
        <v>140</v>
      </c>
      <c r="B57" s="68"/>
    </row>
  </sheetData>
  <printOptions horizontalCentered="1"/>
  <pageMargins left="0.51" right="0.36" top="0.82" bottom="0.66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7">
      <selection activeCell="A57" sqref="A57"/>
    </sheetView>
  </sheetViews>
  <sheetFormatPr defaultColWidth="9.140625" defaultRowHeight="12.75"/>
  <cols>
    <col min="1" max="1" width="56.00390625" style="2" customWidth="1"/>
    <col min="2" max="2" width="19.421875" style="3" customWidth="1"/>
    <col min="3" max="3" width="1.7109375" style="3" customWidth="1"/>
    <col min="4" max="16384" width="9.140625" style="2" customWidth="1"/>
  </cols>
  <sheetData>
    <row r="1" ht="12.75">
      <c r="A1" s="1" t="str">
        <f>Summary!A1</f>
        <v>MITHRIL BERHAD</v>
      </c>
    </row>
    <row r="2" ht="12.75">
      <c r="A2" s="37" t="s">
        <v>1</v>
      </c>
    </row>
    <row r="4" ht="12.75">
      <c r="A4" s="1" t="s">
        <v>133</v>
      </c>
    </row>
    <row r="5" ht="12.75">
      <c r="A5" s="1" t="str">
        <f>Consol_CF!A5</f>
        <v>FOR THE CUMULATIVE QUARTER ENDED 30TH JUNE 2004</v>
      </c>
    </row>
    <row r="8" spans="2:3" ht="12.75">
      <c r="B8" s="4">
        <v>2004</v>
      </c>
      <c r="C8" s="4"/>
    </row>
    <row r="9" ht="12.75">
      <c r="B9" s="3" t="s">
        <v>153</v>
      </c>
    </row>
    <row r="10" ht="12.75">
      <c r="B10" s="3" t="s">
        <v>134</v>
      </c>
    </row>
    <row r="11" ht="15">
      <c r="B11" s="116" t="s">
        <v>35</v>
      </c>
    </row>
    <row r="13" spans="1:2" ht="12.75">
      <c r="A13" s="2" t="s">
        <v>135</v>
      </c>
      <c r="B13" s="3">
        <v>0</v>
      </c>
    </row>
    <row r="14" spans="2:3" s="8" customFormat="1" ht="12.75">
      <c r="B14" s="7"/>
      <c r="C14" s="7"/>
    </row>
    <row r="15" spans="1:3" s="8" customFormat="1" ht="12.75">
      <c r="A15" s="8" t="s">
        <v>136</v>
      </c>
      <c r="B15" s="7">
        <v>0</v>
      </c>
      <c r="C15" s="7"/>
    </row>
    <row r="16" spans="2:3" s="8" customFormat="1" ht="12.75">
      <c r="B16" s="5"/>
      <c r="C16" s="7"/>
    </row>
    <row r="17" spans="2:3" s="8" customFormat="1" ht="12.75">
      <c r="B17" s="7"/>
      <c r="C17" s="7"/>
    </row>
    <row r="18" spans="1:3" s="8" customFormat="1" ht="12.75">
      <c r="A18" s="8" t="s">
        <v>137</v>
      </c>
      <c r="B18" s="7">
        <f>SUM(B13:B15)</f>
        <v>0</v>
      </c>
      <c r="C18" s="7"/>
    </row>
    <row r="19" spans="2:3" s="8" customFormat="1" ht="12.75">
      <c r="B19" s="7"/>
      <c r="C19" s="7"/>
    </row>
    <row r="20" spans="1:3" s="8" customFormat="1" ht="12.75">
      <c r="A20" s="8" t="s">
        <v>138</v>
      </c>
      <c r="B20" s="7">
        <f>Consol_EQ!E32</f>
        <v>-174229314</v>
      </c>
      <c r="C20" s="7"/>
    </row>
    <row r="21" spans="2:3" s="8" customFormat="1" ht="12.75">
      <c r="B21" s="7"/>
      <c r="C21" s="7"/>
    </row>
    <row r="22" spans="1:3" s="8" customFormat="1" ht="13.5" thickBot="1">
      <c r="A22" s="8" t="s">
        <v>139</v>
      </c>
      <c r="B22" s="9">
        <f>SUM(B18:B20)</f>
        <v>-174229314</v>
      </c>
      <c r="C22" s="7"/>
    </row>
    <row r="23" spans="2:3" s="8" customFormat="1" ht="13.5" thickTop="1">
      <c r="B23" s="7"/>
      <c r="C23" s="7"/>
    </row>
    <row r="24" spans="2:3" s="8" customFormat="1" ht="12.75">
      <c r="B24" s="7">
        <f>B22-Consol_EQ!E32</f>
        <v>0</v>
      </c>
      <c r="C24" s="7"/>
    </row>
    <row r="25" spans="1:3" s="8" customFormat="1" ht="12.75">
      <c r="A25" s="10"/>
      <c r="B25" s="7"/>
      <c r="C25" s="7"/>
    </row>
    <row r="26" spans="2:3" s="8" customFormat="1" ht="12.75">
      <c r="B26" s="7"/>
      <c r="C26" s="7"/>
    </row>
    <row r="27" spans="2:3" s="8" customFormat="1" ht="12.75">
      <c r="B27" s="7"/>
      <c r="C27" s="7"/>
    </row>
    <row r="28" spans="2:3" s="8" customFormat="1" ht="12.75">
      <c r="B28" s="7"/>
      <c r="C28" s="7"/>
    </row>
    <row r="29" spans="2:3" s="8" customFormat="1" ht="12.75">
      <c r="B29" s="7"/>
      <c r="C29" s="7"/>
    </row>
    <row r="30" spans="2:3" s="8" customFormat="1" ht="12.75">
      <c r="B30" s="7"/>
      <c r="C30" s="7"/>
    </row>
    <row r="31" spans="1:3" s="8" customFormat="1" ht="12.75">
      <c r="A31" s="10"/>
      <c r="B31" s="7"/>
      <c r="C31" s="7"/>
    </row>
    <row r="32" spans="2:3" s="8" customFormat="1" ht="12.75">
      <c r="B32" s="7"/>
      <c r="C32" s="7"/>
    </row>
    <row r="33" spans="1:3" s="8" customFormat="1" ht="12.75">
      <c r="A33" s="10"/>
      <c r="B33" s="7"/>
      <c r="C33" s="7"/>
    </row>
    <row r="34" spans="2:3" s="8" customFormat="1" ht="12.75">
      <c r="B34" s="7"/>
      <c r="C34" s="7"/>
    </row>
    <row r="35" spans="2:3" s="8" customFormat="1" ht="12.75">
      <c r="B35" s="7"/>
      <c r="C35" s="7"/>
    </row>
    <row r="36" spans="2:3" s="8" customFormat="1" ht="12.75">
      <c r="B36" s="7"/>
      <c r="C36" s="7"/>
    </row>
    <row r="37" spans="2:3" s="8" customFormat="1" ht="12.75">
      <c r="B37" s="7"/>
      <c r="C37" s="7"/>
    </row>
    <row r="38" spans="2:3" s="8" customFormat="1" ht="12.75">
      <c r="B38" s="7"/>
      <c r="C38" s="7"/>
    </row>
    <row r="39" spans="2:3" s="8" customFormat="1" ht="12.75">
      <c r="B39" s="7"/>
      <c r="C39" s="7"/>
    </row>
    <row r="40" spans="2:3" s="8" customFormat="1" ht="12.75">
      <c r="B40" s="7"/>
      <c r="C40" s="7"/>
    </row>
    <row r="41" spans="2:3" s="8" customFormat="1" ht="12.75">
      <c r="B41" s="7"/>
      <c r="C41" s="7"/>
    </row>
    <row r="42" spans="2:3" s="8" customFormat="1" ht="12.75">
      <c r="B42" s="7"/>
      <c r="C42" s="7"/>
    </row>
    <row r="53" ht="12.75">
      <c r="A53" s="92" t="s">
        <v>74</v>
      </c>
    </row>
    <row r="54" ht="12.75">
      <c r="A54" s="68"/>
    </row>
    <row r="55" ht="12.75">
      <c r="A55" s="68" t="s">
        <v>170</v>
      </c>
    </row>
    <row r="56" ht="12.75">
      <c r="A56" s="68" t="s">
        <v>171</v>
      </c>
    </row>
  </sheetData>
  <printOptions/>
  <pageMargins left="0.79" right="0.63" top="0.88" bottom="0.73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&amp; N KENANGA SDN BHD</dc:creator>
  <cp:keywords/>
  <dc:description/>
  <cp:lastModifiedBy> </cp:lastModifiedBy>
  <cp:lastPrinted>2004-08-25T07:05:48Z</cp:lastPrinted>
  <dcterms:created xsi:type="dcterms:W3CDTF">2004-08-07T08:47:17Z</dcterms:created>
  <dcterms:modified xsi:type="dcterms:W3CDTF">2004-08-25T06:22:58Z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